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arioJohnson\Downloads\"/>
    </mc:Choice>
  </mc:AlternateContent>
  <xr:revisionPtr revIDLastSave="0" documentId="8_{17B5FC36-ADA1-47A7-9F4F-675E66E02E18}" xr6:coauthVersionLast="47" xr6:coauthVersionMax="47" xr10:uidLastSave="{00000000-0000-0000-0000-000000000000}"/>
  <bookViews>
    <workbookView xWindow="28680" yWindow="-120" windowWidth="29040" windowHeight="15720" firstSheet="1" activeTab="8" xr2:uid="{00000000-000D-0000-FFFF-FFFF00000000}"/>
  </bookViews>
  <sheets>
    <sheet name="Summary" sheetId="1" r:id="rId1"/>
    <sheet name="Income Assumptions" sheetId="2" r:id="rId2"/>
    <sheet name="Balance Assumptions" sheetId="3" r:id="rId3"/>
    <sheet name="Income Statement" sheetId="4" r:id="rId4"/>
    <sheet name="Balance Sheet" sheetId="5" r:id="rId5"/>
    <sheet name="Cash Flow" sheetId="6" r:id="rId6"/>
    <sheet name="Costs to Run" sheetId="7" r:id="rId7"/>
    <sheet name="Debt Schedule" sheetId="8" r:id="rId8"/>
    <sheet name="DCF" sheetId="9" r:id="rId9"/>
    <sheet name="ERPs by Country" sheetId="10" r:id="rId10"/>
    <sheet name="Metric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nqgvWeroF0IFmgQLOQHEn9+023xolG6WY1slM19Bano="/>
    </ext>
  </extLst>
</workbook>
</file>

<file path=xl/calcChain.xml><?xml version="1.0" encoding="utf-8"?>
<calcChain xmlns="http://schemas.openxmlformats.org/spreadsheetml/2006/main">
  <c r="D80" i="9" l="1"/>
  <c r="I17" i="8" l="1"/>
  <c r="H17" i="8"/>
  <c r="D20" i="8"/>
  <c r="D16" i="9"/>
  <c r="D40" i="9"/>
  <c r="C62" i="9"/>
  <c r="E115" i="9"/>
  <c r="D44" i="9"/>
  <c r="D47" i="9"/>
  <c r="D37" i="9" a="1"/>
  <c r="D37" i="9" s="1"/>
  <c r="D43" i="9" a="1"/>
  <c r="D43" i="9" s="1"/>
  <c r="D46" i="9" s="1"/>
  <c r="D48" i="9" s="1"/>
  <c r="D39" i="9"/>
  <c r="C54" i="9" l="1"/>
  <c r="D115" i="9" s="1"/>
  <c r="D92" i="9"/>
  <c r="D108" i="9"/>
  <c r="C26" i="11"/>
  <c r="C4" i="11"/>
  <c r="E135" i="9"/>
  <c r="D9" i="1" s="1"/>
  <c r="D135" i="9"/>
  <c r="C9" i="1" s="1"/>
  <c r="D100" i="9"/>
  <c r="E132" i="9" s="1"/>
  <c r="F5" i="11" s="1"/>
  <c r="D97" i="9"/>
  <c r="D96" i="9"/>
  <c r="D91" i="9"/>
  <c r="D90" i="9"/>
  <c r="D89" i="9"/>
  <c r="D78" i="9"/>
  <c r="C59" i="9"/>
  <c r="D38" i="9"/>
  <c r="E109" i="9" s="1"/>
  <c r="D110" i="9"/>
  <c r="C37" i="1" s="1"/>
  <c r="G34" i="9"/>
  <c r="G27" i="9"/>
  <c r="G26" i="9"/>
  <c r="G25" i="9"/>
  <c r="G24" i="9"/>
  <c r="G23" i="9"/>
  <c r="G22" i="9"/>
  <c r="G21" i="9"/>
  <c r="G20" i="9"/>
  <c r="H7" i="9"/>
  <c r="G7" i="9"/>
  <c r="F7" i="9"/>
  <c r="E7" i="9"/>
  <c r="D7" i="9"/>
  <c r="H71" i="8"/>
  <c r="G71" i="8"/>
  <c r="F71" i="8"/>
  <c r="E71" i="8"/>
  <c r="D71" i="8"/>
  <c r="D70" i="8"/>
  <c r="M66" i="8"/>
  <c r="L66" i="8"/>
  <c r="K66" i="8"/>
  <c r="J66" i="8"/>
  <c r="I66" i="8"/>
  <c r="F66" i="8"/>
  <c r="H65" i="8"/>
  <c r="G65" i="8"/>
  <c r="F65" i="8"/>
  <c r="E65" i="8"/>
  <c r="D65" i="8"/>
  <c r="C58" i="8"/>
  <c r="H52" i="8"/>
  <c r="G52" i="8"/>
  <c r="F52" i="8"/>
  <c r="E52" i="8"/>
  <c r="D52" i="8"/>
  <c r="H51" i="8"/>
  <c r="G51" i="8"/>
  <c r="F51" i="8"/>
  <c r="G45" i="8" s="1"/>
  <c r="E51" i="8"/>
  <c r="E49" i="8" s="1"/>
  <c r="D51" i="8"/>
  <c r="G47" i="8"/>
  <c r="F47" i="8"/>
  <c r="E47" i="8"/>
  <c r="D47" i="8"/>
  <c r="I40" i="8"/>
  <c r="F40" i="8"/>
  <c r="C40" i="8"/>
  <c r="C41" i="8" s="1"/>
  <c r="H36" i="8"/>
  <c r="G36" i="8"/>
  <c r="F36" i="8"/>
  <c r="E36" i="8"/>
  <c r="D35" i="8"/>
  <c r="H33" i="8"/>
  <c r="G33" i="8"/>
  <c r="F33" i="8"/>
  <c r="E33" i="8"/>
  <c r="D33" i="8"/>
  <c r="M32" i="8"/>
  <c r="M34" i="5" s="1"/>
  <c r="H32" i="8"/>
  <c r="G32" i="8"/>
  <c r="F32" i="8"/>
  <c r="E32" i="8"/>
  <c r="D32" i="8"/>
  <c r="H29" i="8"/>
  <c r="G29" i="8"/>
  <c r="F29" i="8"/>
  <c r="E29" i="8"/>
  <c r="D29" i="8"/>
  <c r="D21" i="8"/>
  <c r="D23" i="8" s="1"/>
  <c r="H15" i="8"/>
  <c r="G15" i="8"/>
  <c r="F15" i="8"/>
  <c r="E15" i="8"/>
  <c r="D15" i="8"/>
  <c r="D8" i="8" s="1"/>
  <c r="H14" i="8"/>
  <c r="I6" i="8" s="1"/>
  <c r="I47" i="6" s="1"/>
  <c r="G14" i="8"/>
  <c r="F14" i="8"/>
  <c r="E14" i="8"/>
  <c r="D14" i="8"/>
  <c r="H12" i="8"/>
  <c r="I11" i="8" s="1"/>
  <c r="H10" i="8"/>
  <c r="E6" i="8"/>
  <c r="D6" i="8"/>
  <c r="M12" i="7"/>
  <c r="L12" i="7"/>
  <c r="K12" i="7"/>
  <c r="J12" i="7"/>
  <c r="I12" i="7"/>
  <c r="D12" i="7"/>
  <c r="D10" i="7"/>
  <c r="I61" i="6"/>
  <c r="M56" i="6"/>
  <c r="L56" i="6"/>
  <c r="K56" i="6"/>
  <c r="J56" i="6"/>
  <c r="I56" i="6"/>
  <c r="M52" i="6"/>
  <c r="L52" i="6"/>
  <c r="K52" i="6"/>
  <c r="J52" i="6"/>
  <c r="I52" i="6"/>
  <c r="H52" i="6"/>
  <c r="G52" i="6"/>
  <c r="F52" i="6"/>
  <c r="E52" i="6"/>
  <c r="E58" i="6" s="1"/>
  <c r="D52" i="6"/>
  <c r="D58" i="6" s="1"/>
  <c r="H48" i="6"/>
  <c r="H47" i="8" s="1"/>
  <c r="I47" i="8" s="1"/>
  <c r="I48" i="6" s="1"/>
  <c r="H47" i="6"/>
  <c r="G47" i="6"/>
  <c r="F47" i="6"/>
  <c r="F6" i="8" s="1"/>
  <c r="H44" i="6"/>
  <c r="G44" i="6"/>
  <c r="F44" i="6"/>
  <c r="E44" i="6"/>
  <c r="D44" i="6"/>
  <c r="M41" i="6"/>
  <c r="L41" i="6"/>
  <c r="K41" i="6"/>
  <c r="J41" i="6"/>
  <c r="I41" i="6"/>
  <c r="M31" i="6"/>
  <c r="L31" i="6"/>
  <c r="K31" i="6"/>
  <c r="J31" i="6"/>
  <c r="I31" i="6"/>
  <c r="G26" i="6"/>
  <c r="H21" i="6"/>
  <c r="H20" i="6"/>
  <c r="G19" i="6"/>
  <c r="F19" i="6"/>
  <c r="E19" i="6"/>
  <c r="H18" i="6"/>
  <c r="G18" i="6"/>
  <c r="F18" i="6"/>
  <c r="E18" i="6"/>
  <c r="D18" i="6"/>
  <c r="H16" i="6"/>
  <c r="G16" i="6"/>
  <c r="F16" i="6"/>
  <c r="E16" i="6"/>
  <c r="D16" i="6"/>
  <c r="H14" i="6"/>
  <c r="G14" i="6"/>
  <c r="F14" i="6"/>
  <c r="E14" i="6"/>
  <c r="D14" i="6"/>
  <c r="H11" i="6"/>
  <c r="H60" i="4" s="1"/>
  <c r="G11" i="6"/>
  <c r="G60" i="4" s="1"/>
  <c r="F11" i="6"/>
  <c r="E11" i="6"/>
  <c r="E60" i="4" s="1"/>
  <c r="D11" i="6"/>
  <c r="H10" i="6"/>
  <c r="G10" i="6"/>
  <c r="F10" i="6"/>
  <c r="E10" i="6"/>
  <c r="D10" i="6"/>
  <c r="H9" i="6"/>
  <c r="G9" i="6"/>
  <c r="F9" i="6"/>
  <c r="E9" i="6"/>
  <c r="D9" i="6"/>
  <c r="H64" i="5"/>
  <c r="G64" i="5"/>
  <c r="F64" i="5"/>
  <c r="E64" i="5"/>
  <c r="D64" i="5"/>
  <c r="H62" i="5"/>
  <c r="G62" i="5"/>
  <c r="G63" i="5" s="1"/>
  <c r="F62" i="5"/>
  <c r="E62" i="5"/>
  <c r="D62" i="5"/>
  <c r="H60" i="5"/>
  <c r="G60" i="5"/>
  <c r="F60" i="5"/>
  <c r="E60" i="5"/>
  <c r="D60" i="5"/>
  <c r="G54" i="5"/>
  <c r="F54" i="5"/>
  <c r="E54" i="5"/>
  <c r="D54" i="5"/>
  <c r="H53" i="5"/>
  <c r="H54" i="5" s="1"/>
  <c r="C20" i="11" s="1"/>
  <c r="H44" i="5"/>
  <c r="G44" i="5"/>
  <c r="F44" i="5"/>
  <c r="E44" i="5"/>
  <c r="D44" i="5"/>
  <c r="L34" i="5"/>
  <c r="K34" i="5"/>
  <c r="J34" i="5"/>
  <c r="I34" i="5"/>
  <c r="M31" i="5"/>
  <c r="L31" i="5"/>
  <c r="K31" i="5"/>
  <c r="J31" i="5"/>
  <c r="I31" i="5"/>
  <c r="H29" i="5"/>
  <c r="H35" i="5" s="1"/>
  <c r="G29" i="5"/>
  <c r="G35" i="5" s="1"/>
  <c r="F29" i="5"/>
  <c r="F35" i="5" s="1"/>
  <c r="E29" i="5"/>
  <c r="E35" i="5" s="1"/>
  <c r="D29" i="5"/>
  <c r="D35" i="5" s="1"/>
  <c r="F60" i="4"/>
  <c r="D60" i="4"/>
  <c r="M58" i="4"/>
  <c r="L28" i="1" s="1"/>
  <c r="L58" i="4"/>
  <c r="K28" i="1" s="1"/>
  <c r="K58" i="4"/>
  <c r="J28" i="1" s="1"/>
  <c r="J58" i="4"/>
  <c r="I28" i="1" s="1"/>
  <c r="I58" i="4"/>
  <c r="H28" i="1" s="1"/>
  <c r="H58" i="4"/>
  <c r="G58" i="4"/>
  <c r="F58" i="4"/>
  <c r="E58" i="4"/>
  <c r="D28" i="1" s="1"/>
  <c r="D58" i="4"/>
  <c r="C28" i="1" s="1"/>
  <c r="H53" i="4"/>
  <c r="G27" i="1" s="1"/>
  <c r="G53" i="4"/>
  <c r="F53" i="4"/>
  <c r="E53" i="4"/>
  <c r="D27" i="1" s="1"/>
  <c r="D53" i="4"/>
  <c r="C27" i="1" s="1"/>
  <c r="H49" i="4"/>
  <c r="H50" i="4" s="1"/>
  <c r="G49" i="4"/>
  <c r="G50" i="4" s="1"/>
  <c r="F49" i="4"/>
  <c r="F50" i="4" s="1"/>
  <c r="E49" i="4"/>
  <c r="E50" i="4" s="1"/>
  <c r="D49" i="4"/>
  <c r="D50" i="4" s="1"/>
  <c r="H45" i="4"/>
  <c r="G45" i="4"/>
  <c r="F45" i="4"/>
  <c r="E45" i="4"/>
  <c r="D45" i="4"/>
  <c r="M38" i="4"/>
  <c r="M11" i="6" s="1"/>
  <c r="M60" i="4" s="1"/>
  <c r="L38" i="4"/>
  <c r="L11" i="6" s="1"/>
  <c r="L60" i="4" s="1"/>
  <c r="K38" i="4"/>
  <c r="K11" i="6" s="1"/>
  <c r="K60" i="4" s="1"/>
  <c r="J38" i="4"/>
  <c r="J11" i="6" s="1"/>
  <c r="J60" i="4" s="1"/>
  <c r="I38" i="4"/>
  <c r="I11" i="6" s="1"/>
  <c r="I60" i="4" s="1"/>
  <c r="H25" i="4"/>
  <c r="G25" i="4"/>
  <c r="F25" i="4"/>
  <c r="E25" i="4"/>
  <c r="D25" i="4"/>
  <c r="H24" i="4"/>
  <c r="H19" i="6" s="1"/>
  <c r="H20" i="4"/>
  <c r="G20" i="4"/>
  <c r="F20" i="4"/>
  <c r="E20" i="4"/>
  <c r="D20" i="4"/>
  <c r="H19" i="4"/>
  <c r="G19" i="4"/>
  <c r="F19" i="4"/>
  <c r="E19" i="4"/>
  <c r="D19" i="4"/>
  <c r="H18" i="4"/>
  <c r="G18" i="4"/>
  <c r="F18" i="4"/>
  <c r="E18" i="4"/>
  <c r="D18" i="4"/>
  <c r="H16" i="4"/>
  <c r="G16" i="4"/>
  <c r="F16" i="4"/>
  <c r="E16" i="4"/>
  <c r="D16" i="4"/>
  <c r="H15" i="4"/>
  <c r="G15" i="4"/>
  <c r="F15" i="4"/>
  <c r="E15" i="4"/>
  <c r="D15" i="4"/>
  <c r="H8" i="4"/>
  <c r="G8" i="4"/>
  <c r="F8" i="4"/>
  <c r="E8" i="4"/>
  <c r="D8" i="4"/>
  <c r="D5" i="4"/>
  <c r="H80" i="3"/>
  <c r="G80" i="3"/>
  <c r="F80" i="3"/>
  <c r="E80" i="3"/>
  <c r="D80" i="3"/>
  <c r="D78" i="3"/>
  <c r="H75" i="3"/>
  <c r="H79" i="3" s="1"/>
  <c r="H8" i="6" s="1"/>
  <c r="G75" i="3"/>
  <c r="G79" i="3" s="1"/>
  <c r="G8" i="6" s="1"/>
  <c r="F75" i="3"/>
  <c r="F64" i="3" s="1"/>
  <c r="E75" i="3"/>
  <c r="D69" i="3"/>
  <c r="D75" i="3" s="1"/>
  <c r="D79" i="3" s="1"/>
  <c r="D8" i="6" s="1"/>
  <c r="H61" i="3"/>
  <c r="H63" i="3" s="1"/>
  <c r="G61" i="3"/>
  <c r="F61" i="3"/>
  <c r="E61" i="3"/>
  <c r="D61" i="3"/>
  <c r="D65" i="3" s="1"/>
  <c r="E54" i="3"/>
  <c r="D54" i="3" s="1"/>
  <c r="E53" i="3"/>
  <c r="D53" i="3"/>
  <c r="E52" i="3"/>
  <c r="D52" i="3" s="1"/>
  <c r="C51" i="3"/>
  <c r="D51" i="3" s="1"/>
  <c r="D46" i="3"/>
  <c r="C46" i="3"/>
  <c r="E45" i="3"/>
  <c r="E44" i="3"/>
  <c r="E43" i="3"/>
  <c r="E42" i="3"/>
  <c r="M30" i="3"/>
  <c r="L30" i="3"/>
  <c r="K30" i="3"/>
  <c r="J30" i="3"/>
  <c r="I30" i="3"/>
  <c r="H30" i="3"/>
  <c r="G30" i="3"/>
  <c r="F30" i="3"/>
  <c r="E30" i="3"/>
  <c r="D30" i="3"/>
  <c r="H29" i="3"/>
  <c r="G29" i="3"/>
  <c r="F29" i="3"/>
  <c r="E29" i="3"/>
  <c r="D29" i="3"/>
  <c r="G28" i="3"/>
  <c r="D28" i="3"/>
  <c r="H27" i="3"/>
  <c r="G27" i="3"/>
  <c r="F27" i="3"/>
  <c r="E27" i="3"/>
  <c r="D27" i="3"/>
  <c r="H23" i="3"/>
  <c r="G23" i="3"/>
  <c r="F23" i="3"/>
  <c r="E23" i="3"/>
  <c r="D23" i="3"/>
  <c r="H22" i="3"/>
  <c r="G22" i="3"/>
  <c r="F22" i="3"/>
  <c r="E22" i="3"/>
  <c r="D22" i="3"/>
  <c r="H21" i="3"/>
  <c r="G21" i="3"/>
  <c r="F21" i="3"/>
  <c r="E21" i="3"/>
  <c r="D21" i="3"/>
  <c r="H20" i="3"/>
  <c r="G20" i="3"/>
  <c r="F20" i="3"/>
  <c r="E20" i="3"/>
  <c r="D20" i="3"/>
  <c r="D16" i="3"/>
  <c r="D11" i="3"/>
  <c r="H9" i="3"/>
  <c r="G9" i="3"/>
  <c r="F9" i="3"/>
  <c r="E9" i="3"/>
  <c r="D9" i="3"/>
  <c r="D8" i="3"/>
  <c r="D7" i="3"/>
  <c r="D6" i="3"/>
  <c r="J98" i="2"/>
  <c r="I98" i="2"/>
  <c r="H98" i="2"/>
  <c r="G98" i="2"/>
  <c r="F98" i="2"/>
  <c r="F95" i="2"/>
  <c r="J91" i="2"/>
  <c r="I91" i="2"/>
  <c r="H91" i="2"/>
  <c r="G91" i="2"/>
  <c r="F90" i="2"/>
  <c r="J87" i="2"/>
  <c r="I87" i="2"/>
  <c r="H87" i="2"/>
  <c r="G87" i="2"/>
  <c r="F86" i="2"/>
  <c r="K85" i="2"/>
  <c r="I19" i="4" s="1"/>
  <c r="J83" i="2"/>
  <c r="I83" i="2"/>
  <c r="H83" i="2"/>
  <c r="G83" i="2"/>
  <c r="F82" i="2"/>
  <c r="K81" i="2"/>
  <c r="H78" i="2"/>
  <c r="J77" i="2"/>
  <c r="I77" i="2"/>
  <c r="H77" i="2"/>
  <c r="F17" i="4" s="1"/>
  <c r="G77" i="2"/>
  <c r="E17" i="4" s="1"/>
  <c r="F77" i="2"/>
  <c r="J75" i="2"/>
  <c r="I75" i="2"/>
  <c r="H75" i="2"/>
  <c r="G75" i="2"/>
  <c r="K73" i="2"/>
  <c r="I16" i="4" s="1"/>
  <c r="J71" i="2"/>
  <c r="I71" i="2"/>
  <c r="H71" i="2"/>
  <c r="G71" i="2"/>
  <c r="F70" i="2"/>
  <c r="K69" i="2"/>
  <c r="I15" i="4" s="1"/>
  <c r="E61" i="2"/>
  <c r="D61" i="2"/>
  <c r="J58" i="2"/>
  <c r="J64" i="2" s="1"/>
  <c r="I58" i="2"/>
  <c r="H58" i="2"/>
  <c r="G58" i="2"/>
  <c r="G64" i="2" s="1"/>
  <c r="G62" i="2" s="1"/>
  <c r="F58" i="2"/>
  <c r="F64" i="2" s="1"/>
  <c r="E58" i="2"/>
  <c r="E54" i="2" s="1"/>
  <c r="E55" i="2" s="1"/>
  <c r="E56" i="2" s="1"/>
  <c r="D58" i="2"/>
  <c r="D67" i="2" s="1"/>
  <c r="D66" i="2" s="1"/>
  <c r="O56" i="2"/>
  <c r="N56" i="2"/>
  <c r="M56" i="2"/>
  <c r="L56" i="2"/>
  <c r="K56" i="2"/>
  <c r="F55" i="2"/>
  <c r="F56" i="2" s="1"/>
  <c r="J47" i="2"/>
  <c r="I47" i="2"/>
  <c r="H47" i="2"/>
  <c r="G47" i="2"/>
  <c r="F47" i="2"/>
  <c r="J43" i="2"/>
  <c r="J44" i="2" s="1"/>
  <c r="I43" i="2"/>
  <c r="I44" i="2" s="1"/>
  <c r="H43" i="2"/>
  <c r="H44" i="2" s="1"/>
  <c r="G43" i="2"/>
  <c r="G44" i="2" s="1"/>
  <c r="F43" i="2"/>
  <c r="F44" i="2" s="1"/>
  <c r="F38" i="2"/>
  <c r="J33" i="2"/>
  <c r="I33" i="2"/>
  <c r="H33" i="2"/>
  <c r="J30" i="2"/>
  <c r="I30" i="2"/>
  <c r="H30" i="2"/>
  <c r="G30" i="2"/>
  <c r="J29" i="2"/>
  <c r="I29" i="2"/>
  <c r="H29" i="2"/>
  <c r="J26" i="2"/>
  <c r="I26" i="2"/>
  <c r="H26" i="2"/>
  <c r="G26" i="2"/>
  <c r="J25" i="2"/>
  <c r="I25" i="2"/>
  <c r="H25" i="2"/>
  <c r="J22" i="2"/>
  <c r="I22" i="2"/>
  <c r="H22" i="2"/>
  <c r="G22" i="2"/>
  <c r="J21" i="2"/>
  <c r="I21" i="2"/>
  <c r="H21" i="2"/>
  <c r="J17" i="2"/>
  <c r="I17" i="2"/>
  <c r="H17" i="2"/>
  <c r="K16" i="2"/>
  <c r="L16" i="2" s="1"/>
  <c r="F16" i="2"/>
  <c r="E16" i="2"/>
  <c r="E24" i="2" s="1"/>
  <c r="D16" i="2"/>
  <c r="D24" i="2" s="1"/>
  <c r="J13" i="2"/>
  <c r="I13" i="2"/>
  <c r="H13" i="2"/>
  <c r="K12" i="2"/>
  <c r="L12" i="2" s="1"/>
  <c r="M12" i="2" s="1"/>
  <c r="F12" i="2"/>
  <c r="G13" i="2" s="1"/>
  <c r="E12" i="2"/>
  <c r="D12" i="2"/>
  <c r="J9" i="2"/>
  <c r="I9" i="2"/>
  <c r="H9" i="2"/>
  <c r="K8" i="2"/>
  <c r="L8" i="2" s="1"/>
  <c r="F8" i="2"/>
  <c r="E8" i="2"/>
  <c r="D8" i="2"/>
  <c r="F6" i="2"/>
  <c r="E6" i="2"/>
  <c r="J5" i="2"/>
  <c r="H5" i="4" s="1"/>
  <c r="I5" i="2"/>
  <c r="I10" i="2" s="1"/>
  <c r="H5" i="2"/>
  <c r="H95" i="2" s="1"/>
  <c r="G5" i="2"/>
  <c r="G38" i="2" s="1"/>
  <c r="C38" i="1"/>
  <c r="C36" i="1"/>
  <c r="G28" i="1"/>
  <c r="F28" i="1"/>
  <c r="E28" i="1"/>
  <c r="C23" i="1"/>
  <c r="C22" i="1"/>
  <c r="C14" i="1"/>
  <c r="C15" i="1" l="1"/>
  <c r="C35" i="1"/>
  <c r="C55" i="9"/>
  <c r="F61" i="5"/>
  <c r="F8" i="8"/>
  <c r="H30" i="8"/>
  <c r="I28" i="8" s="1"/>
  <c r="I35" i="8" s="1"/>
  <c r="G8" i="8"/>
  <c r="F17" i="2"/>
  <c r="E53" i="2"/>
  <c r="E63" i="5"/>
  <c r="F30" i="8"/>
  <c r="G28" i="8" s="1"/>
  <c r="F55" i="8"/>
  <c r="H67" i="2"/>
  <c r="H66" i="2" s="1"/>
  <c r="H41" i="2" s="1"/>
  <c r="H8" i="8"/>
  <c r="G64" i="3"/>
  <c r="D30" i="8"/>
  <c r="E28" i="8" s="1"/>
  <c r="F46" i="5"/>
  <c r="F56" i="5" s="1"/>
  <c r="I79" i="2"/>
  <c r="H46" i="5"/>
  <c r="H56" i="5" s="1"/>
  <c r="F54" i="4"/>
  <c r="D63" i="5"/>
  <c r="H58" i="6"/>
  <c r="C16" i="1"/>
  <c r="F45" i="8"/>
  <c r="E27" i="1"/>
  <c r="G54" i="4"/>
  <c r="D46" i="5"/>
  <c r="D56" i="5" s="1"/>
  <c r="F27" i="1"/>
  <c r="E46" i="3"/>
  <c r="E63" i="3"/>
  <c r="E46" i="5"/>
  <c r="E56" i="5" s="1"/>
  <c r="E8" i="8"/>
  <c r="E30" i="8"/>
  <c r="F28" i="8" s="1"/>
  <c r="G30" i="8"/>
  <c r="H28" i="8" s="1"/>
  <c r="H35" i="8" s="1"/>
  <c r="D48" i="8"/>
  <c r="H45" i="8"/>
  <c r="C59" i="8" s="1"/>
  <c r="C57" i="8" s="1"/>
  <c r="H28" i="3"/>
  <c r="H31" i="3" s="1"/>
  <c r="H33" i="3" s="1"/>
  <c r="L85" i="2"/>
  <c r="J19" i="4" s="1"/>
  <c r="E54" i="4"/>
  <c r="E24" i="3"/>
  <c r="D61" i="5"/>
  <c r="E13" i="2"/>
  <c r="F28" i="3"/>
  <c r="F31" i="3" s="1"/>
  <c r="G63" i="3"/>
  <c r="H63" i="5"/>
  <c r="H49" i="8"/>
  <c r="J70" i="2"/>
  <c r="E28" i="3"/>
  <c r="D62" i="3"/>
  <c r="H64" i="3"/>
  <c r="G61" i="5"/>
  <c r="F58" i="6"/>
  <c r="H6" i="8"/>
  <c r="J47" i="8"/>
  <c r="E55" i="8"/>
  <c r="G24" i="3"/>
  <c r="G33" i="3" s="1"/>
  <c r="G31" i="3"/>
  <c r="D66" i="3"/>
  <c r="H55" i="8"/>
  <c r="G28" i="9"/>
  <c r="E31" i="3"/>
  <c r="I69" i="3"/>
  <c r="J69" i="3" s="1"/>
  <c r="K69" i="3" s="1"/>
  <c r="L69" i="3" s="1"/>
  <c r="M69" i="3" s="1"/>
  <c r="H61" i="5"/>
  <c r="L69" i="2"/>
  <c r="J15" i="4" s="1"/>
  <c r="D24" i="3"/>
  <c r="H24" i="3"/>
  <c r="D56" i="3"/>
  <c r="F63" i="5"/>
  <c r="F49" i="8"/>
  <c r="F46" i="8" s="1"/>
  <c r="F48" i="8" s="1"/>
  <c r="D132" i="9"/>
  <c r="E5" i="11" s="1"/>
  <c r="H74" i="2"/>
  <c r="G67" i="2"/>
  <c r="G66" i="2" s="1"/>
  <c r="G41" i="2" s="1"/>
  <c r="J10" i="2"/>
  <c r="D53" i="2"/>
  <c r="H62" i="3"/>
  <c r="E28" i="4"/>
  <c r="E15" i="3" s="1"/>
  <c r="H64" i="2"/>
  <c r="H62" i="2" s="1"/>
  <c r="I67" i="2"/>
  <c r="I66" i="2" s="1"/>
  <c r="I41" i="2" s="1"/>
  <c r="F22" i="4"/>
  <c r="G17" i="4"/>
  <c r="G28" i="4" s="1"/>
  <c r="F13" i="2"/>
  <c r="D54" i="2"/>
  <c r="D55" i="2" s="1"/>
  <c r="D56" i="2" s="1"/>
  <c r="E67" i="2"/>
  <c r="E66" i="2" s="1"/>
  <c r="H10" i="3"/>
  <c r="H10" i="4"/>
  <c r="H7" i="3"/>
  <c r="G22" i="1"/>
  <c r="N12" i="2"/>
  <c r="L28" i="2"/>
  <c r="L20" i="2"/>
  <c r="F10" i="7"/>
  <c r="F12" i="7"/>
  <c r="F8" i="3"/>
  <c r="H82" i="2"/>
  <c r="F5" i="4"/>
  <c r="F11" i="3"/>
  <c r="H86" i="2"/>
  <c r="H70" i="2"/>
  <c r="H34" i="2"/>
  <c r="F16" i="3"/>
  <c r="F6" i="3"/>
  <c r="H90" i="2"/>
  <c r="H38" i="2"/>
  <c r="H18" i="2"/>
  <c r="I6" i="2"/>
  <c r="E28" i="2"/>
  <c r="E20" i="2"/>
  <c r="M8" i="2"/>
  <c r="F9" i="2"/>
  <c r="M16" i="2"/>
  <c r="L24" i="2"/>
  <c r="H55" i="2"/>
  <c r="H56" i="2" s="1"/>
  <c r="D10" i="3"/>
  <c r="D10" i="4"/>
  <c r="E12" i="7"/>
  <c r="E10" i="7"/>
  <c r="E78" i="3"/>
  <c r="G95" i="2"/>
  <c r="G74" i="2"/>
  <c r="G55" i="2"/>
  <c r="G56" i="2" s="1"/>
  <c r="E8" i="3"/>
  <c r="G82" i="2"/>
  <c r="E5" i="4"/>
  <c r="E62" i="3"/>
  <c r="E11" i="3"/>
  <c r="G86" i="2"/>
  <c r="G70" i="2"/>
  <c r="G34" i="2"/>
  <c r="H6" i="2"/>
  <c r="D28" i="2"/>
  <c r="D20" i="2"/>
  <c r="E9" i="2"/>
  <c r="G12" i="7"/>
  <c r="G10" i="7"/>
  <c r="G5" i="4"/>
  <c r="H6" i="4" s="1"/>
  <c r="G23" i="1" s="1"/>
  <c r="G11" i="3"/>
  <c r="I86" i="2"/>
  <c r="I70" i="2"/>
  <c r="I34" i="2"/>
  <c r="G16" i="3"/>
  <c r="G6" i="3"/>
  <c r="I90" i="2"/>
  <c r="I38" i="2"/>
  <c r="I18" i="2"/>
  <c r="I14" i="2"/>
  <c r="G78" i="3"/>
  <c r="I95" i="2"/>
  <c r="I74" i="2"/>
  <c r="I55" i="2"/>
  <c r="I56" i="2" s="1"/>
  <c r="J6" i="2"/>
  <c r="G9" i="2"/>
  <c r="G10" i="2"/>
  <c r="G14" i="2"/>
  <c r="F20" i="2"/>
  <c r="F24" i="2"/>
  <c r="F28" i="2"/>
  <c r="J34" i="2"/>
  <c r="I64" i="2"/>
  <c r="I62" i="2" s="1"/>
  <c r="D17" i="4"/>
  <c r="D22" i="4" s="1"/>
  <c r="F78" i="2"/>
  <c r="F67" i="2"/>
  <c r="F66" i="2" s="1"/>
  <c r="F41" i="2" s="1"/>
  <c r="J79" i="2"/>
  <c r="J78" i="2"/>
  <c r="H17" i="4"/>
  <c r="H28" i="4" s="1"/>
  <c r="K77" i="2"/>
  <c r="J67" i="2"/>
  <c r="J66" i="2" s="1"/>
  <c r="J41" i="2" s="1"/>
  <c r="G79" i="2"/>
  <c r="I82" i="2"/>
  <c r="F24" i="3"/>
  <c r="E64" i="3"/>
  <c r="E79" i="3"/>
  <c r="E8" i="6" s="1"/>
  <c r="F78" i="3"/>
  <c r="D18" i="5"/>
  <c r="D22" i="5" s="1"/>
  <c r="E60" i="3"/>
  <c r="H12" i="7"/>
  <c r="H16" i="3"/>
  <c r="H6" i="3"/>
  <c r="J90" i="2"/>
  <c r="J38" i="2"/>
  <c r="J18" i="2"/>
  <c r="J14" i="2"/>
  <c r="H78" i="3"/>
  <c r="J95" i="2"/>
  <c r="J74" i="2"/>
  <c r="J55" i="2"/>
  <c r="J56" i="2" s="1"/>
  <c r="H10" i="7"/>
  <c r="H8" i="3"/>
  <c r="J82" i="2"/>
  <c r="G6" i="2"/>
  <c r="K28" i="2"/>
  <c r="K29" i="2" s="1"/>
  <c r="K20" i="2"/>
  <c r="H10" i="2"/>
  <c r="H14" i="2"/>
  <c r="E25" i="2"/>
  <c r="G17" i="2"/>
  <c r="G18" i="2"/>
  <c r="F59" i="2"/>
  <c r="F62" i="2"/>
  <c r="J59" i="2"/>
  <c r="J62" i="2"/>
  <c r="I18" i="4"/>
  <c r="L81" i="2"/>
  <c r="J86" i="2"/>
  <c r="G90" i="2"/>
  <c r="E6" i="3"/>
  <c r="G8" i="3"/>
  <c r="H11" i="3"/>
  <c r="E16" i="3"/>
  <c r="D31" i="3"/>
  <c r="D33" i="3" s="1"/>
  <c r="F63" i="3"/>
  <c r="F62" i="3"/>
  <c r="K24" i="2"/>
  <c r="K25" i="2" s="1"/>
  <c r="I78" i="2"/>
  <c r="H79" i="2"/>
  <c r="C56" i="3"/>
  <c r="E22" i="4"/>
  <c r="E17" i="2"/>
  <c r="F79" i="3"/>
  <c r="F8" i="6" s="1"/>
  <c r="F28" i="4"/>
  <c r="H54" i="4"/>
  <c r="C14" i="11"/>
  <c r="G59" i="2"/>
  <c r="L73" i="2"/>
  <c r="G78" i="2"/>
  <c r="G62" i="3"/>
  <c r="G22" i="4"/>
  <c r="G46" i="5"/>
  <c r="G56" i="5" s="1"/>
  <c r="E61" i="5"/>
  <c r="I12" i="8"/>
  <c r="J12" i="8" s="1"/>
  <c r="C31" i="11"/>
  <c r="C61" i="9"/>
  <c r="C32" i="11"/>
  <c r="G6" i="8"/>
  <c r="G58" i="6"/>
  <c r="K47" i="8"/>
  <c r="J48" i="6"/>
  <c r="I9" i="8"/>
  <c r="I10" i="8"/>
  <c r="D7" i="8"/>
  <c r="E4" i="8" s="1"/>
  <c r="E5" i="8" s="1"/>
  <c r="C10" i="11"/>
  <c r="G49" i="8"/>
  <c r="G46" i="8" s="1"/>
  <c r="G48" i="8" s="1"/>
  <c r="C5" i="11"/>
  <c r="C57" i="9"/>
  <c r="E45" i="8"/>
  <c r="E46" i="8" s="1"/>
  <c r="D49" i="8"/>
  <c r="H46" i="8"/>
  <c r="H48" i="8" s="1"/>
  <c r="D55" i="8"/>
  <c r="E64" i="8"/>
  <c r="D72" i="8"/>
  <c r="D69" i="8"/>
  <c r="D109" i="9"/>
  <c r="C34" i="1" s="1"/>
  <c r="D4" i="11"/>
  <c r="D14" i="11" s="1"/>
  <c r="G55" i="8"/>
  <c r="E117" i="9" l="1"/>
  <c r="D117" i="9"/>
  <c r="C33" i="1"/>
  <c r="G35" i="8"/>
  <c r="F39" i="8" s="1"/>
  <c r="F41" i="8" s="1"/>
  <c r="E35" i="8"/>
  <c r="J9" i="8"/>
  <c r="E56" i="3"/>
  <c r="D58" i="3" s="1"/>
  <c r="E33" i="3"/>
  <c r="E34" i="3" s="1"/>
  <c r="M69" i="2"/>
  <c r="N69" i="2" s="1"/>
  <c r="F33" i="3"/>
  <c r="G34" i="3" s="1"/>
  <c r="F35" i="8"/>
  <c r="I39" i="8" s="1"/>
  <c r="I41" i="8" s="1"/>
  <c r="C38" i="8" s="1"/>
  <c r="C64" i="9"/>
  <c r="I59" i="2"/>
  <c r="M85" i="2"/>
  <c r="N85" i="2" s="1"/>
  <c r="D28" i="4"/>
  <c r="E29" i="4" s="1"/>
  <c r="E14" i="3"/>
  <c r="E32" i="2"/>
  <c r="I14" i="8"/>
  <c r="I15" i="8" s="1"/>
  <c r="I41" i="5" s="1"/>
  <c r="H22" i="4"/>
  <c r="F32" i="2"/>
  <c r="G33" i="2" s="1"/>
  <c r="D32" i="2"/>
  <c r="D4" i="2" s="1"/>
  <c r="L32" i="2"/>
  <c r="L5" i="2" s="1"/>
  <c r="H59" i="2"/>
  <c r="I45" i="8"/>
  <c r="I48" i="8" s="1"/>
  <c r="C25" i="11"/>
  <c r="H35" i="3"/>
  <c r="D35" i="3"/>
  <c r="H29" i="4"/>
  <c r="H15" i="3"/>
  <c r="H14" i="3"/>
  <c r="F10" i="4"/>
  <c r="F6" i="4"/>
  <c r="E23" i="1" s="1"/>
  <c r="F7" i="3"/>
  <c r="F10" i="3"/>
  <c r="E22" i="1"/>
  <c r="C6" i="11"/>
  <c r="D5" i="11"/>
  <c r="C66" i="9"/>
  <c r="G35" i="3"/>
  <c r="H34" i="3"/>
  <c r="F29" i="2"/>
  <c r="G29" i="2"/>
  <c r="D11" i="4"/>
  <c r="M28" i="2"/>
  <c r="M29" i="2" s="1"/>
  <c r="M20" i="2"/>
  <c r="M21" i="2" s="1"/>
  <c r="N8" i="2"/>
  <c r="O12" i="2"/>
  <c r="J18" i="4"/>
  <c r="M81" i="2"/>
  <c r="K32" i="2"/>
  <c r="K33" i="2" s="1"/>
  <c r="I17" i="4"/>
  <c r="L77" i="2"/>
  <c r="E10" i="4"/>
  <c r="E6" i="4"/>
  <c r="D23" i="1" s="1"/>
  <c r="E7" i="3"/>
  <c r="D22" i="1"/>
  <c r="E10" i="3"/>
  <c r="C53" i="9"/>
  <c r="E7" i="8"/>
  <c r="F4" i="8" s="1"/>
  <c r="L47" i="8"/>
  <c r="K48" i="6"/>
  <c r="J11" i="8"/>
  <c r="K11" i="8" s="1"/>
  <c r="J16" i="4"/>
  <c r="M73" i="2"/>
  <c r="F29" i="4"/>
  <c r="F14" i="3"/>
  <c r="F15" i="3"/>
  <c r="K21" i="2"/>
  <c r="E65" i="3"/>
  <c r="E66" i="3" s="1"/>
  <c r="F25" i="2"/>
  <c r="G25" i="2"/>
  <c r="G7" i="3"/>
  <c r="G10" i="3"/>
  <c r="F22" i="1"/>
  <c r="G6" i="4"/>
  <c r="F23" i="1" s="1"/>
  <c r="G10" i="4"/>
  <c r="H12" i="4" s="1"/>
  <c r="L25" i="2"/>
  <c r="E21" i="2"/>
  <c r="L21" i="2"/>
  <c r="H31" i="4"/>
  <c r="H11" i="4"/>
  <c r="C16" i="11" s="1"/>
  <c r="K15" i="4"/>
  <c r="E70" i="8"/>
  <c r="E69" i="8"/>
  <c r="E48" i="8"/>
  <c r="I8" i="8"/>
  <c r="I32" i="5"/>
  <c r="C65" i="9"/>
  <c r="J14" i="8"/>
  <c r="K12" i="8"/>
  <c r="G29" i="4"/>
  <c r="G15" i="3"/>
  <c r="G14" i="3"/>
  <c r="F21" i="2"/>
  <c r="G21" i="2"/>
  <c r="F34" i="3"/>
  <c r="E35" i="3"/>
  <c r="M24" i="2"/>
  <c r="M25" i="2" s="1"/>
  <c r="N16" i="2"/>
  <c r="E29" i="2"/>
  <c r="L29" i="2"/>
  <c r="D116" i="9" l="1"/>
  <c r="E116" i="9"/>
  <c r="E114" i="9"/>
  <c r="D114" i="9"/>
  <c r="D118" i="9"/>
  <c r="E118" i="9"/>
  <c r="E111" i="9"/>
  <c r="D111" i="9"/>
  <c r="C68" i="9"/>
  <c r="D14" i="3"/>
  <c r="D31" i="4"/>
  <c r="F35" i="3"/>
  <c r="F33" i="2"/>
  <c r="K19" i="4"/>
  <c r="E4" i="2"/>
  <c r="D15" i="3"/>
  <c r="J6" i="8"/>
  <c r="J47" i="6" s="1"/>
  <c r="E16" i="8"/>
  <c r="E17" i="8" s="1"/>
  <c r="E33" i="2"/>
  <c r="L11" i="8"/>
  <c r="L74" i="2"/>
  <c r="L82" i="2"/>
  <c r="F4" i="2"/>
  <c r="K5" i="2"/>
  <c r="I10" i="7" s="1"/>
  <c r="I11" i="7" s="1"/>
  <c r="I63" i="6" s="1"/>
  <c r="E18" i="5"/>
  <c r="E22" i="5" s="1"/>
  <c r="F60" i="3"/>
  <c r="D33" i="4"/>
  <c r="D41" i="4"/>
  <c r="D32" i="4"/>
  <c r="F5" i="8"/>
  <c r="F7" i="8" s="1"/>
  <c r="G4" i="8" s="1"/>
  <c r="J17" i="4"/>
  <c r="M77" i="2"/>
  <c r="L78" i="2"/>
  <c r="K6" i="8"/>
  <c r="K47" i="6" s="1"/>
  <c r="J32" i="5"/>
  <c r="C12" i="11"/>
  <c r="D6" i="11"/>
  <c r="O16" i="2"/>
  <c r="N24" i="2"/>
  <c r="N25" i="2" s="1"/>
  <c r="O69" i="2"/>
  <c r="L15" i="4"/>
  <c r="G12" i="4"/>
  <c r="G31" i="4"/>
  <c r="G11" i="4"/>
  <c r="K16" i="4"/>
  <c r="N73" i="2"/>
  <c r="M32" i="2"/>
  <c r="M33" i="2" s="1"/>
  <c r="L33" i="2"/>
  <c r="O85" i="2"/>
  <c r="L19" i="4"/>
  <c r="I60" i="5"/>
  <c r="I52" i="8"/>
  <c r="J45" i="8"/>
  <c r="J48" i="8" s="1"/>
  <c r="K14" i="8"/>
  <c r="L12" i="8"/>
  <c r="F64" i="8"/>
  <c r="E72" i="8"/>
  <c r="C28" i="11"/>
  <c r="C23" i="11"/>
  <c r="H33" i="4"/>
  <c r="H41" i="4"/>
  <c r="H32" i="4"/>
  <c r="C18" i="11" s="1"/>
  <c r="J13" i="5"/>
  <c r="J8" i="5"/>
  <c r="J10" i="7"/>
  <c r="J11" i="7" s="1"/>
  <c r="J63" i="6" s="1"/>
  <c r="J30" i="5"/>
  <c r="J20" i="5"/>
  <c r="J11" i="5"/>
  <c r="J10" i="5"/>
  <c r="L89" i="2"/>
  <c r="L37" i="2"/>
  <c r="L43" i="2" s="1"/>
  <c r="J5" i="4"/>
  <c r="L94" i="2"/>
  <c r="J25" i="4" s="1"/>
  <c r="J61" i="3"/>
  <c r="L54" i="2"/>
  <c r="L14" i="2"/>
  <c r="L10" i="2"/>
  <c r="L18" i="2"/>
  <c r="L86" i="2"/>
  <c r="L70" i="2"/>
  <c r="M47" i="8"/>
  <c r="M48" i="6" s="1"/>
  <c r="L48" i="6"/>
  <c r="E31" i="4"/>
  <c r="E12" i="4"/>
  <c r="E11" i="4"/>
  <c r="K18" i="4"/>
  <c r="N81" i="2"/>
  <c r="N28" i="2"/>
  <c r="N29" i="2" s="1"/>
  <c r="N20" i="2"/>
  <c r="N21" i="2" s="1"/>
  <c r="O8" i="2"/>
  <c r="F31" i="4"/>
  <c r="F11" i="4"/>
  <c r="F12" i="4"/>
  <c r="J15" i="8"/>
  <c r="J8" i="8" s="1"/>
  <c r="D113" i="9" l="1"/>
  <c r="E113" i="9"/>
  <c r="K82" i="2"/>
  <c r="K37" i="2"/>
  <c r="K43" i="2" s="1"/>
  <c r="L6" i="2"/>
  <c r="M11" i="8"/>
  <c r="I11" i="5"/>
  <c r="K78" i="2"/>
  <c r="I8" i="5"/>
  <c r="I36" i="6" s="1"/>
  <c r="K10" i="2"/>
  <c r="K18" i="2"/>
  <c r="I20" i="5"/>
  <c r="K70" i="2"/>
  <c r="K6" i="2"/>
  <c r="K54" i="2"/>
  <c r="I8" i="4" s="1"/>
  <c r="I30" i="5"/>
  <c r="J30" i="6" s="1"/>
  <c r="K74" i="2"/>
  <c r="I5" i="4"/>
  <c r="I61" i="3"/>
  <c r="J63" i="3" s="1"/>
  <c r="I10" i="5"/>
  <c r="I25" i="6" s="1"/>
  <c r="K86" i="2"/>
  <c r="K14" i="2"/>
  <c r="K94" i="2"/>
  <c r="I25" i="4" s="1"/>
  <c r="K89" i="2"/>
  <c r="I20" i="4" s="1"/>
  <c r="I13" i="5"/>
  <c r="J28" i="6" s="1"/>
  <c r="M5" i="2"/>
  <c r="M82" i="2" s="1"/>
  <c r="E33" i="4"/>
  <c r="E41" i="4"/>
  <c r="E32" i="4"/>
  <c r="F69" i="8"/>
  <c r="F67" i="8"/>
  <c r="F70" i="8" s="1"/>
  <c r="K15" i="8"/>
  <c r="J41" i="5"/>
  <c r="J60" i="5" s="1"/>
  <c r="L18" i="4"/>
  <c r="O81" i="2"/>
  <c r="E14" i="9"/>
  <c r="J40" i="6"/>
  <c r="J71" i="3"/>
  <c r="J23" i="3"/>
  <c r="I49" i="8"/>
  <c r="I40" i="5"/>
  <c r="I54" i="8"/>
  <c r="I55" i="8" s="1"/>
  <c r="M19" i="4"/>
  <c r="O24" i="2"/>
  <c r="O25" i="2" s="1"/>
  <c r="G5" i="8"/>
  <c r="G7" i="8" s="1"/>
  <c r="F41" i="4"/>
  <c r="F32" i="4"/>
  <c r="F33" i="4"/>
  <c r="J6" i="4"/>
  <c r="I23" i="1" s="1"/>
  <c r="I22" i="1"/>
  <c r="H34" i="4"/>
  <c r="G24" i="1"/>
  <c r="N32" i="2"/>
  <c r="N33" i="2" s="1"/>
  <c r="J20" i="4"/>
  <c r="L67" i="2"/>
  <c r="J29" i="3"/>
  <c r="M12" i="8"/>
  <c r="M14" i="8" s="1"/>
  <c r="L14" i="8"/>
  <c r="L16" i="4"/>
  <c r="O73" i="2"/>
  <c r="G32" i="4"/>
  <c r="G33" i="4"/>
  <c r="G41" i="4"/>
  <c r="I6" i="4"/>
  <c r="H23" i="1" s="1"/>
  <c r="H22" i="1"/>
  <c r="I12" i="5"/>
  <c r="D42" i="4"/>
  <c r="D6" i="6"/>
  <c r="D22" i="6" s="1"/>
  <c r="D32" i="6" s="1"/>
  <c r="D60" i="6" s="1"/>
  <c r="D7" i="5" s="1"/>
  <c r="D59" i="4"/>
  <c r="C29" i="1" s="1"/>
  <c r="C26" i="1"/>
  <c r="F65" i="3"/>
  <c r="F66" i="3" s="1"/>
  <c r="J12" i="5"/>
  <c r="J8" i="4"/>
  <c r="J10" i="4" s="1"/>
  <c r="J26" i="6"/>
  <c r="J21" i="3"/>
  <c r="J52" i="8"/>
  <c r="K45" i="8"/>
  <c r="K48" i="8" s="1"/>
  <c r="I26" i="6"/>
  <c r="I21" i="3"/>
  <c r="O28" i="2"/>
  <c r="O29" i="2" s="1"/>
  <c r="O20" i="2"/>
  <c r="O21" i="2" s="1"/>
  <c r="J20" i="3"/>
  <c r="H6" i="6"/>
  <c r="H22" i="6" s="1"/>
  <c r="H32" i="6" s="1"/>
  <c r="H42" i="4"/>
  <c r="C19" i="11" s="1"/>
  <c r="H59" i="4"/>
  <c r="G29" i="1" s="1"/>
  <c r="G26" i="1"/>
  <c r="K8" i="8"/>
  <c r="L6" i="8"/>
  <c r="L47" i="6" s="1"/>
  <c r="K32" i="5"/>
  <c r="M15" i="4"/>
  <c r="K17" i="4"/>
  <c r="N77" i="2"/>
  <c r="F16" i="8"/>
  <c r="F17" i="8" s="1"/>
  <c r="C24" i="1"/>
  <c r="D34" i="4"/>
  <c r="C25" i="1" s="1"/>
  <c r="E120" i="9" l="1"/>
  <c r="D7" i="1"/>
  <c r="D120" i="9"/>
  <c r="C7" i="1"/>
  <c r="M74" i="2"/>
  <c r="M6" i="2"/>
  <c r="M89" i="2"/>
  <c r="M67" i="2" s="1"/>
  <c r="M94" i="2"/>
  <c r="K25" i="4" s="1"/>
  <c r="I63" i="3"/>
  <c r="K8" i="5"/>
  <c r="K36" i="6" s="1"/>
  <c r="K61" i="3"/>
  <c r="F14" i="9" s="1"/>
  <c r="I40" i="6"/>
  <c r="J36" i="6"/>
  <c r="K10" i="5"/>
  <c r="K20" i="3" s="1"/>
  <c r="M18" i="2"/>
  <c r="K30" i="5"/>
  <c r="K30" i="6" s="1"/>
  <c r="M70" i="2"/>
  <c r="K10" i="7"/>
  <c r="K11" i="7" s="1"/>
  <c r="K63" i="6" s="1"/>
  <c r="K67" i="2"/>
  <c r="I28" i="6"/>
  <c r="L66" i="2"/>
  <c r="I10" i="4"/>
  <c r="I12" i="4" s="1"/>
  <c r="I30" i="6"/>
  <c r="D14" i="9"/>
  <c r="M78" i="2"/>
  <c r="J25" i="6"/>
  <c r="M86" i="2"/>
  <c r="M37" i="2"/>
  <c r="M43" i="2" s="1"/>
  <c r="K5" i="4"/>
  <c r="J22" i="1" s="1"/>
  <c r="K11" i="5"/>
  <c r="K26" i="6" s="1"/>
  <c r="I20" i="3"/>
  <c r="I29" i="3"/>
  <c r="I70" i="3"/>
  <c r="M70" i="3" s="1"/>
  <c r="M10" i="2"/>
  <c r="M14" i="2"/>
  <c r="M54" i="2"/>
  <c r="K12" i="5" s="1"/>
  <c r="K13" i="5"/>
  <c r="K20" i="5"/>
  <c r="L91" i="2"/>
  <c r="K91" i="2"/>
  <c r="I23" i="3"/>
  <c r="H4" i="8"/>
  <c r="G16" i="8"/>
  <c r="G17" i="8" s="1"/>
  <c r="J11" i="4"/>
  <c r="F18" i="5"/>
  <c r="F22" i="5" s="1"/>
  <c r="G60" i="3"/>
  <c r="I11" i="4"/>
  <c r="D16" i="11" s="1"/>
  <c r="F72" i="8"/>
  <c r="G64" i="8"/>
  <c r="D11" i="7"/>
  <c r="D15" i="5"/>
  <c r="D24" i="5" s="1"/>
  <c r="D58" i="5" s="1"/>
  <c r="F100" i="2"/>
  <c r="F99" i="2" s="1"/>
  <c r="M32" i="5"/>
  <c r="K20" i="4"/>
  <c r="M91" i="2"/>
  <c r="F6" i="6"/>
  <c r="F22" i="6" s="1"/>
  <c r="F32" i="6" s="1"/>
  <c r="F60" i="6" s="1"/>
  <c r="F42" i="4"/>
  <c r="E26" i="1"/>
  <c r="F59" i="4"/>
  <c r="E29" i="1" s="1"/>
  <c r="L17" i="4"/>
  <c r="O77" i="2"/>
  <c r="K6" i="4"/>
  <c r="J23" i="1" s="1"/>
  <c r="K66" i="2"/>
  <c r="L71" i="3"/>
  <c r="K71" i="3"/>
  <c r="M71" i="3"/>
  <c r="E6" i="6"/>
  <c r="E22" i="6" s="1"/>
  <c r="E32" i="6" s="1"/>
  <c r="E60" i="6" s="1"/>
  <c r="E7" i="5" s="1"/>
  <c r="E59" i="4"/>
  <c r="D29" i="1" s="1"/>
  <c r="E42" i="4"/>
  <c r="D26" i="1"/>
  <c r="H60" i="6"/>
  <c r="C13" i="11"/>
  <c r="L45" i="8"/>
  <c r="L48" i="8" s="1"/>
  <c r="K52" i="8"/>
  <c r="M16" i="4"/>
  <c r="C17" i="11"/>
  <c r="G25" i="1"/>
  <c r="F34" i="4"/>
  <c r="E25" i="1" s="1"/>
  <c r="E24" i="1"/>
  <c r="M18" i="4"/>
  <c r="L15" i="8"/>
  <c r="K41" i="5"/>
  <c r="K60" i="5" s="1"/>
  <c r="E34" i="4"/>
  <c r="D25" i="1" s="1"/>
  <c r="D24" i="1"/>
  <c r="I27" i="6"/>
  <c r="I22" i="3"/>
  <c r="G34" i="4"/>
  <c r="F25" i="1" s="1"/>
  <c r="F24" i="1"/>
  <c r="O32" i="2"/>
  <c r="O33" i="2" s="1"/>
  <c r="J49" i="8"/>
  <c r="J40" i="5"/>
  <c r="J54" i="8"/>
  <c r="J55" i="8" s="1"/>
  <c r="J27" i="6"/>
  <c r="J22" i="3"/>
  <c r="J24" i="3" s="1"/>
  <c r="G6" i="6"/>
  <c r="G22" i="6" s="1"/>
  <c r="G32" i="6" s="1"/>
  <c r="G60" i="6" s="1"/>
  <c r="G59" i="4"/>
  <c r="F29" i="1" s="1"/>
  <c r="G42" i="4"/>
  <c r="F26" i="1"/>
  <c r="M6" i="8"/>
  <c r="M47" i="6" s="1"/>
  <c r="L32" i="5"/>
  <c r="N5" i="2"/>
  <c r="K63" i="3"/>
  <c r="K72" i="3"/>
  <c r="I62" i="5"/>
  <c r="K40" i="6" l="1"/>
  <c r="K25" i="6"/>
  <c r="K29" i="3"/>
  <c r="J12" i="4"/>
  <c r="K8" i="4"/>
  <c r="K70" i="3"/>
  <c r="J70" i="3"/>
  <c r="K23" i="3"/>
  <c r="I24" i="3"/>
  <c r="K28" i="6"/>
  <c r="K21" i="3"/>
  <c r="K10" i="4"/>
  <c r="K11" i="4" s="1"/>
  <c r="L70" i="3"/>
  <c r="E11" i="7"/>
  <c r="E15" i="5"/>
  <c r="E24" i="5" s="1"/>
  <c r="E58" i="5" s="1"/>
  <c r="G100" i="2"/>
  <c r="G99" i="2" s="1"/>
  <c r="F7" i="5"/>
  <c r="M15" i="8"/>
  <c r="L41" i="5"/>
  <c r="L60" i="5" s="1"/>
  <c r="M17" i="4"/>
  <c r="L30" i="5"/>
  <c r="L20" i="5"/>
  <c r="L11" i="5"/>
  <c r="L10" i="7"/>
  <c r="L11" i="7" s="1"/>
  <c r="L63" i="6" s="1"/>
  <c r="L13" i="5"/>
  <c r="L10" i="5"/>
  <c r="L8" i="5"/>
  <c r="L36" i="6" s="1"/>
  <c r="L61" i="3"/>
  <c r="N54" i="2"/>
  <c r="N89" i="2"/>
  <c r="N37" i="2"/>
  <c r="N43" i="2" s="1"/>
  <c r="L5" i="4"/>
  <c r="N94" i="2"/>
  <c r="L25" i="4" s="1"/>
  <c r="N6" i="2"/>
  <c r="N14" i="2"/>
  <c r="N86" i="2"/>
  <c r="N70" i="2"/>
  <c r="N18" i="2"/>
  <c r="N10" i="2"/>
  <c r="N82" i="2"/>
  <c r="N74" i="2"/>
  <c r="M66" i="2"/>
  <c r="N78" i="2"/>
  <c r="G70" i="8"/>
  <c r="G69" i="8"/>
  <c r="M72" i="3"/>
  <c r="L72" i="3"/>
  <c r="J62" i="5"/>
  <c r="K27" i="6"/>
  <c r="K22" i="3"/>
  <c r="K49" i="8"/>
  <c r="K40" i="5"/>
  <c r="K54" i="8"/>
  <c r="K55" i="8" s="1"/>
  <c r="D24" i="8"/>
  <c r="H5" i="8"/>
  <c r="H7" i="8" s="1"/>
  <c r="H16" i="8" s="1"/>
  <c r="L8" i="8"/>
  <c r="O5" i="2"/>
  <c r="L52" i="8"/>
  <c r="M45" i="8"/>
  <c r="M48" i="8" s="1"/>
  <c r="M52" i="8" s="1"/>
  <c r="G65" i="3"/>
  <c r="G66" i="3" s="1"/>
  <c r="K24" i="3" l="1"/>
  <c r="K12" i="4"/>
  <c r="G18" i="5"/>
  <c r="G22" i="5" s="1"/>
  <c r="H60" i="3"/>
  <c r="G14" i="9"/>
  <c r="L40" i="6"/>
  <c r="L63" i="3"/>
  <c r="L73" i="3"/>
  <c r="M73" i="3" s="1"/>
  <c r="K62" i="5"/>
  <c r="L26" i="6"/>
  <c r="L21" i="3"/>
  <c r="G72" i="8"/>
  <c r="H64" i="8"/>
  <c r="L20" i="4"/>
  <c r="N91" i="2"/>
  <c r="N67" i="2"/>
  <c r="L25" i="6"/>
  <c r="L20" i="3"/>
  <c r="M41" i="5"/>
  <c r="M60" i="5" s="1"/>
  <c r="M8" i="8"/>
  <c r="M49" i="8"/>
  <c r="M40" i="5"/>
  <c r="M54" i="8"/>
  <c r="M55" i="8" s="1"/>
  <c r="I4" i="8"/>
  <c r="L6" i="4"/>
  <c r="K23" i="1" s="1"/>
  <c r="K22" i="1"/>
  <c r="L49" i="8"/>
  <c r="L40" i="5"/>
  <c r="L54" i="8"/>
  <c r="L55" i="8" s="1"/>
  <c r="M10" i="7"/>
  <c r="M11" i="7" s="1"/>
  <c r="M63" i="6" s="1"/>
  <c r="M10" i="5"/>
  <c r="M13" i="5"/>
  <c r="M30" i="5"/>
  <c r="M20" i="5"/>
  <c r="M8" i="5"/>
  <c r="M36" i="6" s="1"/>
  <c r="M61" i="3"/>
  <c r="O54" i="2"/>
  <c r="O89" i="2"/>
  <c r="O37" i="2"/>
  <c r="O43" i="2" s="1"/>
  <c r="M5" i="4"/>
  <c r="O94" i="2"/>
  <c r="M25" i="4" s="1"/>
  <c r="O6" i="2"/>
  <c r="M11" i="5"/>
  <c r="O14" i="2"/>
  <c r="O18" i="2"/>
  <c r="O70" i="2"/>
  <c r="O10" i="2"/>
  <c r="O86" i="2"/>
  <c r="O74" i="2"/>
  <c r="O82" i="2"/>
  <c r="L12" i="5"/>
  <c r="L8" i="4"/>
  <c r="L10" i="4" s="1"/>
  <c r="L28" i="6"/>
  <c r="L23" i="3"/>
  <c r="L30" i="6"/>
  <c r="L29" i="3"/>
  <c r="O78" i="2"/>
  <c r="G7" i="5"/>
  <c r="F11" i="7"/>
  <c r="F15" i="5"/>
  <c r="F24" i="5" s="1"/>
  <c r="F58" i="5" s="1"/>
  <c r="H100" i="2"/>
  <c r="H99" i="2" s="1"/>
  <c r="L12" i="4" l="1"/>
  <c r="L11" i="4"/>
  <c r="M40" i="6"/>
  <c r="M74" i="3"/>
  <c r="M63" i="3"/>
  <c r="M28" i="6"/>
  <c r="M23" i="3"/>
  <c r="L27" i="6"/>
  <c r="L22" i="3"/>
  <c r="L24" i="3" s="1"/>
  <c r="M26" i="6"/>
  <c r="M21" i="3"/>
  <c r="M25" i="6"/>
  <c r="M20" i="3"/>
  <c r="L62" i="5"/>
  <c r="M62" i="5"/>
  <c r="N66" i="2"/>
  <c r="H65" i="3"/>
  <c r="H66" i="3" s="1"/>
  <c r="M12" i="5"/>
  <c r="M8" i="4"/>
  <c r="M30" i="6"/>
  <c r="M29" i="3"/>
  <c r="H69" i="8"/>
  <c r="H70" i="8"/>
  <c r="M10" i="4"/>
  <c r="M6" i="4"/>
  <c r="L23" i="1" s="1"/>
  <c r="L22" i="1"/>
  <c r="G11" i="7"/>
  <c r="G15" i="5"/>
  <c r="G24" i="5" s="1"/>
  <c r="G58" i="5" s="1"/>
  <c r="H7" i="5"/>
  <c r="I100" i="2"/>
  <c r="I99" i="2" s="1"/>
  <c r="M20" i="4"/>
  <c r="O91" i="2"/>
  <c r="O67" i="2"/>
  <c r="I5" i="8"/>
  <c r="I7" i="8" s="1"/>
  <c r="J4" i="8" s="1"/>
  <c r="H18" i="5" l="1"/>
  <c r="I60" i="3"/>
  <c r="M11" i="4"/>
  <c r="M12" i="4"/>
  <c r="D95" i="9"/>
  <c r="D94" i="9" s="1"/>
  <c r="H15" i="5"/>
  <c r="H11" i="7"/>
  <c r="I37" i="4"/>
  <c r="J100" i="2"/>
  <c r="J99" i="2" s="1"/>
  <c r="M27" i="6"/>
  <c r="M22" i="3"/>
  <c r="M24" i="3" s="1"/>
  <c r="J5" i="8"/>
  <c r="J7" i="8" s="1"/>
  <c r="O66" i="2"/>
  <c r="I64" i="8"/>
  <c r="H72" i="8"/>
  <c r="I16" i="8"/>
  <c r="I36" i="4" s="1"/>
  <c r="K4" i="8" l="1"/>
  <c r="J16" i="8"/>
  <c r="J17" i="8" s="1"/>
  <c r="J36" i="4" s="1"/>
  <c r="I35" i="6"/>
  <c r="I44" i="6" s="1"/>
  <c r="I10" i="6"/>
  <c r="I49" i="6"/>
  <c r="I9" i="6"/>
  <c r="C29" i="11"/>
  <c r="C30" i="11"/>
  <c r="I68" i="8"/>
  <c r="I77" i="3" s="1"/>
  <c r="D129" i="9"/>
  <c r="E129" i="9"/>
  <c r="C18" i="1"/>
  <c r="C24" i="11"/>
  <c r="C22" i="11" s="1"/>
  <c r="H22" i="5"/>
  <c r="H24" i="5" s="1"/>
  <c r="I70" i="8" l="1"/>
  <c r="C21" i="11"/>
  <c r="H58" i="5"/>
  <c r="I78" i="3"/>
  <c r="I75" i="3"/>
  <c r="J49" i="6"/>
  <c r="J9" i="6"/>
  <c r="J64" i="8"/>
  <c r="I19" i="5"/>
  <c r="D26" i="11" s="1"/>
  <c r="K5" i="8"/>
  <c r="K7" i="8" s="1"/>
  <c r="L4" i="8" l="1"/>
  <c r="K16" i="8"/>
  <c r="K17" i="8" s="1"/>
  <c r="K36" i="4" s="1"/>
  <c r="J68" i="8"/>
  <c r="J77" i="3" s="1"/>
  <c r="J70" i="8"/>
  <c r="I64" i="3"/>
  <c r="I66" i="3" s="1"/>
  <c r="I79" i="3"/>
  <c r="K64" i="8" l="1"/>
  <c r="J19" i="5"/>
  <c r="D10" i="9"/>
  <c r="D9" i="9" s="1"/>
  <c r="I8" i="6"/>
  <c r="I21" i="4"/>
  <c r="J78" i="3"/>
  <c r="J75" i="3"/>
  <c r="I18" i="5"/>
  <c r="J60" i="3"/>
  <c r="K49" i="6"/>
  <c r="K9" i="6"/>
  <c r="L5" i="8"/>
  <c r="L7" i="8" s="1"/>
  <c r="M4" i="8" l="1"/>
  <c r="L16" i="8"/>
  <c r="L17" i="8" s="1"/>
  <c r="L36" i="4" s="1"/>
  <c r="D24" i="11"/>
  <c r="I22" i="5"/>
  <c r="J64" i="3"/>
  <c r="J66" i="3" s="1"/>
  <c r="J79" i="3"/>
  <c r="I80" i="3"/>
  <c r="K46" i="2"/>
  <c r="K51" i="2" s="1"/>
  <c r="I49" i="4" s="1"/>
  <c r="I50" i="4" s="1"/>
  <c r="I47" i="4" s="1"/>
  <c r="I28" i="4"/>
  <c r="I22" i="4"/>
  <c r="K68" i="8"/>
  <c r="K77" i="3" s="1"/>
  <c r="J18" i="5" l="1"/>
  <c r="J22" i="5" s="1"/>
  <c r="K60" i="3"/>
  <c r="K78" i="3"/>
  <c r="K75" i="3"/>
  <c r="E10" i="9"/>
  <c r="E9" i="9" s="1"/>
  <c r="J8" i="6"/>
  <c r="J21" i="4"/>
  <c r="K70" i="8"/>
  <c r="L49" i="6"/>
  <c r="L9" i="6"/>
  <c r="I29" i="5"/>
  <c r="I28" i="3" s="1"/>
  <c r="I28" i="5"/>
  <c r="I29" i="4"/>
  <c r="I31" i="4"/>
  <c r="I52" i="5"/>
  <c r="M5" i="8"/>
  <c r="M7" i="8" s="1"/>
  <c r="M16" i="8" s="1"/>
  <c r="M17" i="8" s="1"/>
  <c r="M36" i="4" s="1"/>
  <c r="M49" i="6" l="1"/>
  <c r="M9" i="6"/>
  <c r="L64" i="8"/>
  <c r="K19" i="5"/>
  <c r="L46" i="2"/>
  <c r="L51" i="2" s="1"/>
  <c r="J49" i="4" s="1"/>
  <c r="J50" i="4" s="1"/>
  <c r="J47" i="4" s="1"/>
  <c r="J80" i="3"/>
  <c r="J28" i="4"/>
  <c r="J22" i="4"/>
  <c r="D28" i="11"/>
  <c r="D23" i="11"/>
  <c r="D5" i="9"/>
  <c r="I33" i="4"/>
  <c r="I41" i="4"/>
  <c r="I32" i="4"/>
  <c r="D18" i="11" s="1"/>
  <c r="I29" i="6"/>
  <c r="I35" i="5"/>
  <c r="I27" i="3"/>
  <c r="I31" i="3" s="1"/>
  <c r="I33" i="3" s="1"/>
  <c r="K79" i="3"/>
  <c r="K64" i="3"/>
  <c r="K66" i="3" s="1"/>
  <c r="K18" i="5" l="1"/>
  <c r="K22" i="5" s="1"/>
  <c r="L60" i="3"/>
  <c r="I34" i="4"/>
  <c r="H24" i="1"/>
  <c r="J52" i="5"/>
  <c r="F10" i="9"/>
  <c r="F9" i="9" s="1"/>
  <c r="K8" i="6"/>
  <c r="K21" i="4"/>
  <c r="J28" i="5"/>
  <c r="J29" i="4"/>
  <c r="J29" i="5"/>
  <c r="J28" i="3" s="1"/>
  <c r="J31" i="4"/>
  <c r="I6" i="6"/>
  <c r="I22" i="6" s="1"/>
  <c r="I32" i="6" s="1"/>
  <c r="I59" i="4"/>
  <c r="H29" i="1" s="1"/>
  <c r="I45" i="4"/>
  <c r="I46" i="4" s="1"/>
  <c r="I42" i="4"/>
  <c r="D19" i="11" s="1"/>
  <c r="H26" i="1"/>
  <c r="D25" i="11"/>
  <c r="D22" i="11" s="1"/>
  <c r="I35" i="3"/>
  <c r="I34" i="3"/>
  <c r="L68" i="8"/>
  <c r="L77" i="3" s="1"/>
  <c r="L70" i="8"/>
  <c r="I57" i="6" l="1"/>
  <c r="D13" i="11"/>
  <c r="I53" i="4"/>
  <c r="I53" i="5"/>
  <c r="L78" i="3"/>
  <c r="L75" i="3"/>
  <c r="M46" i="2"/>
  <c r="M51" i="2" s="1"/>
  <c r="K49" i="4" s="1"/>
  <c r="K50" i="4" s="1"/>
  <c r="K47" i="4" s="1"/>
  <c r="K80" i="3"/>
  <c r="K22" i="4"/>
  <c r="K28" i="4"/>
  <c r="D17" i="11"/>
  <c r="H25" i="1"/>
  <c r="M64" i="8"/>
  <c r="L19" i="5"/>
  <c r="E5" i="9"/>
  <c r="J32" i="4"/>
  <c r="J33" i="4"/>
  <c r="D12" i="9"/>
  <c r="I36" i="3"/>
  <c r="J29" i="6"/>
  <c r="J35" i="5"/>
  <c r="J27" i="3"/>
  <c r="J31" i="3" s="1"/>
  <c r="J33" i="3" s="1"/>
  <c r="D73" i="9" l="1"/>
  <c r="K52" i="5"/>
  <c r="J34" i="4"/>
  <c r="I25" i="1" s="1"/>
  <c r="I24" i="1"/>
  <c r="M68" i="8"/>
  <c r="M77" i="3" s="1"/>
  <c r="K28" i="5"/>
  <c r="K29" i="5"/>
  <c r="K28" i="3" s="1"/>
  <c r="K29" i="4"/>
  <c r="K31" i="4"/>
  <c r="L64" i="3"/>
  <c r="L66" i="3" s="1"/>
  <c r="L79" i="3"/>
  <c r="I54" i="5"/>
  <c r="I54" i="4"/>
  <c r="H27" i="1"/>
  <c r="D10" i="11"/>
  <c r="I29" i="8"/>
  <c r="I30" i="8" s="1"/>
  <c r="I58" i="6"/>
  <c r="I60" i="6" s="1"/>
  <c r="J35" i="3"/>
  <c r="J34" i="3"/>
  <c r="M70" i="8" l="1"/>
  <c r="M19" i="5" s="1"/>
  <c r="E26" i="11" s="1"/>
  <c r="E12" i="9"/>
  <c r="E16" i="9" s="1"/>
  <c r="J36" i="3"/>
  <c r="J28" i="8"/>
  <c r="I33" i="8"/>
  <c r="I43" i="5" s="1"/>
  <c r="G10" i="9"/>
  <c r="G9" i="9" s="1"/>
  <c r="L8" i="6"/>
  <c r="L21" i="4"/>
  <c r="I62" i="6"/>
  <c r="I7" i="5"/>
  <c r="L18" i="5"/>
  <c r="L22" i="5" s="1"/>
  <c r="M60" i="3"/>
  <c r="K29" i="6"/>
  <c r="K35" i="5"/>
  <c r="K27" i="3"/>
  <c r="K31" i="3" s="1"/>
  <c r="K33" i="3" s="1"/>
  <c r="D12" i="11"/>
  <c r="D31" i="11"/>
  <c r="I61" i="5"/>
  <c r="I63" i="5"/>
  <c r="D32" i="11"/>
  <c r="D20" i="11"/>
  <c r="F5" i="9"/>
  <c r="K32" i="4"/>
  <c r="K33" i="4"/>
  <c r="M78" i="3"/>
  <c r="M75" i="3"/>
  <c r="I64" i="6" l="1"/>
  <c r="J61" i="6"/>
  <c r="I64" i="5"/>
  <c r="I44" i="5"/>
  <c r="I46" i="5" s="1"/>
  <c r="I56" i="5" s="1"/>
  <c r="K34" i="4"/>
  <c r="J25" i="1" s="1"/>
  <c r="J24" i="1"/>
  <c r="N46" i="2"/>
  <c r="N51" i="2" s="1"/>
  <c r="L49" i="4" s="1"/>
  <c r="L50" i="4" s="1"/>
  <c r="L47" i="4" s="1"/>
  <c r="L80" i="3"/>
  <c r="L28" i="4"/>
  <c r="L22" i="4"/>
  <c r="J35" i="8"/>
  <c r="M64" i="3"/>
  <c r="M66" i="3" s="1"/>
  <c r="M18" i="5" s="1"/>
  <c r="M79" i="3"/>
  <c r="K35" i="3"/>
  <c r="K34" i="3"/>
  <c r="I15" i="5"/>
  <c r="K100" i="2"/>
  <c r="J37" i="4"/>
  <c r="E73" i="9"/>
  <c r="E24" i="11" l="1"/>
  <c r="M22" i="5"/>
  <c r="F12" i="9"/>
  <c r="F16" i="9" s="1"/>
  <c r="K36" i="3"/>
  <c r="L29" i="5"/>
  <c r="L28" i="3" s="1"/>
  <c r="L28" i="5"/>
  <c r="L29" i="4"/>
  <c r="L31" i="4"/>
  <c r="D30" i="11"/>
  <c r="D29" i="11"/>
  <c r="I24" i="5"/>
  <c r="D21" i="11" s="1"/>
  <c r="H10" i="9"/>
  <c r="M8" i="6"/>
  <c r="M21" i="4"/>
  <c r="J35" i="6"/>
  <c r="J44" i="6" s="1"/>
  <c r="J10" i="6"/>
  <c r="J41" i="4"/>
  <c r="L52" i="5"/>
  <c r="I58" i="5" l="1"/>
  <c r="G5" i="9"/>
  <c r="L33" i="4"/>
  <c r="L32" i="4"/>
  <c r="F73" i="9"/>
  <c r="M80" i="3"/>
  <c r="O46" i="2"/>
  <c r="O51" i="2" s="1"/>
  <c r="M49" i="4" s="1"/>
  <c r="M50" i="4" s="1"/>
  <c r="M47" i="4" s="1"/>
  <c r="M28" i="4"/>
  <c r="M22" i="4"/>
  <c r="L29" i="6"/>
  <c r="L35" i="5"/>
  <c r="L27" i="3"/>
  <c r="L31" i="3" s="1"/>
  <c r="L33" i="3" s="1"/>
  <c r="H14" i="9"/>
  <c r="H9" i="9"/>
  <c r="J6" i="6"/>
  <c r="J22" i="6" s="1"/>
  <c r="J32" i="6" s="1"/>
  <c r="J59" i="4"/>
  <c r="I29" i="1" s="1"/>
  <c r="J45" i="4"/>
  <c r="J46" i="4" s="1"/>
  <c r="J42" i="4"/>
  <c r="I26" i="1"/>
  <c r="J53" i="4" l="1"/>
  <c r="J53" i="5"/>
  <c r="M52" i="5"/>
  <c r="J57" i="6"/>
  <c r="L35" i="3"/>
  <c r="L34" i="3"/>
  <c r="M29" i="5"/>
  <c r="M28" i="3" s="1"/>
  <c r="M28" i="5"/>
  <c r="M29" i="4"/>
  <c r="M31" i="4"/>
  <c r="L34" i="4"/>
  <c r="K25" i="1" s="1"/>
  <c r="K24" i="1"/>
  <c r="M35" i="5" l="1"/>
  <c r="M29" i="6"/>
  <c r="M27" i="3"/>
  <c r="M31" i="3" s="1"/>
  <c r="M33" i="3" s="1"/>
  <c r="E23" i="11"/>
  <c r="H5" i="9"/>
  <c r="M33" i="4"/>
  <c r="M32" i="4"/>
  <c r="G12" i="9"/>
  <c r="G16" i="9" s="1"/>
  <c r="L36" i="3"/>
  <c r="J29" i="8"/>
  <c r="J30" i="8" s="1"/>
  <c r="J58" i="6"/>
  <c r="J60" i="6" s="1"/>
  <c r="J54" i="5"/>
  <c r="D88" i="9"/>
  <c r="J54" i="4"/>
  <c r="I27" i="1"/>
  <c r="J33" i="8" l="1"/>
  <c r="J43" i="5" s="1"/>
  <c r="K28" i="8"/>
  <c r="D128" i="9"/>
  <c r="E128" i="9"/>
  <c r="C17" i="1"/>
  <c r="C19" i="1" s="1"/>
  <c r="C7" i="11"/>
  <c r="J61" i="5"/>
  <c r="J63" i="5"/>
  <c r="M34" i="4"/>
  <c r="L25" i="1" s="1"/>
  <c r="L24" i="1"/>
  <c r="H12" i="9"/>
  <c r="H16" i="9" s="1"/>
  <c r="E122" i="9" s="1"/>
  <c r="E25" i="11"/>
  <c r="E22" i="11" s="1"/>
  <c r="C69" i="9" s="1"/>
  <c r="M35" i="3"/>
  <c r="M34" i="3"/>
  <c r="M36" i="3" s="1"/>
  <c r="G73" i="9"/>
  <c r="J62" i="6"/>
  <c r="J7" i="5"/>
  <c r="D123" i="9" l="1"/>
  <c r="D125" i="9" s="1"/>
  <c r="E123" i="9"/>
  <c r="E125" i="9" s="1"/>
  <c r="E126" i="9" s="1"/>
  <c r="D122" i="9"/>
  <c r="J15" i="5"/>
  <c r="J24" i="5" s="1"/>
  <c r="K37" i="4"/>
  <c r="L100" i="2"/>
  <c r="K61" i="6"/>
  <c r="J64" i="6"/>
  <c r="D81" i="9"/>
  <c r="H73" i="9"/>
  <c r="C11" i="11"/>
  <c r="D7" i="11"/>
  <c r="D11" i="11" s="1"/>
  <c r="K35" i="8"/>
  <c r="J64" i="5"/>
  <c r="J44" i="5"/>
  <c r="J46" i="5" s="1"/>
  <c r="J56" i="5" s="1"/>
  <c r="D126" i="9" l="1"/>
  <c r="D131" i="9" s="1"/>
  <c r="J58" i="5"/>
  <c r="E124" i="9"/>
  <c r="C40" i="1" s="1"/>
  <c r="K35" i="6"/>
  <c r="K44" i="6" s="1"/>
  <c r="K10" i="6"/>
  <c r="K41" i="4"/>
  <c r="D124" i="9"/>
  <c r="C39" i="1" s="1"/>
  <c r="D83" i="9"/>
  <c r="D86" i="9" s="1"/>
  <c r="D99" i="9" s="1"/>
  <c r="D102" i="9" s="1"/>
  <c r="D103" i="9" s="1"/>
  <c r="D82" i="9"/>
  <c r="E7" i="11" l="1"/>
  <c r="E11" i="11" s="1"/>
  <c r="E131" i="9"/>
  <c r="F7" i="11"/>
  <c r="F11" i="11" s="1"/>
  <c r="K6" i="6"/>
  <c r="K22" i="6" s="1"/>
  <c r="K32" i="6" s="1"/>
  <c r="K59" i="4"/>
  <c r="J29" i="1" s="1"/>
  <c r="K42" i="4"/>
  <c r="J26" i="1"/>
  <c r="K45" i="4"/>
  <c r="K46" i="4" s="1"/>
  <c r="K57" i="6" l="1"/>
  <c r="E134" i="9"/>
  <c r="F6" i="11"/>
  <c r="K53" i="4"/>
  <c r="K53" i="5"/>
  <c r="E6" i="11"/>
  <c r="D134" i="9"/>
  <c r="D136" i="9" s="1"/>
  <c r="F13" i="11" l="1"/>
  <c r="F12" i="11"/>
  <c r="E4" i="11"/>
  <c r="C10" i="1"/>
  <c r="C8" i="1"/>
  <c r="E13" i="11"/>
  <c r="E12" i="11"/>
  <c r="F4" i="11"/>
  <c r="E136" i="9"/>
  <c r="D10" i="1" s="1"/>
  <c r="D8" i="1"/>
  <c r="K54" i="5"/>
  <c r="K29" i="8"/>
  <c r="K30" i="8" s="1"/>
  <c r="K58" i="6"/>
  <c r="K60" i="6" s="1"/>
  <c r="K54" i="4"/>
  <c r="J27" i="1"/>
  <c r="K61" i="5" l="1"/>
  <c r="K63" i="5"/>
  <c r="E10" i="11"/>
  <c r="E14" i="11"/>
  <c r="K62" i="6"/>
  <c r="K7" i="5"/>
  <c r="F10" i="11"/>
  <c r="F14" i="11"/>
  <c r="L28" i="8"/>
  <c r="K33" i="8"/>
  <c r="K43" i="5" s="1"/>
  <c r="K15" i="5" l="1"/>
  <c r="K24" i="5" s="1"/>
  <c r="L37" i="4"/>
  <c r="M100" i="2"/>
  <c r="K64" i="5"/>
  <c r="K44" i="5"/>
  <c r="K46" i="5" s="1"/>
  <c r="K56" i="5" s="1"/>
  <c r="L35" i="8"/>
  <c r="L61" i="6"/>
  <c r="K64" i="6"/>
  <c r="K58" i="5" l="1"/>
  <c r="L35" i="6"/>
  <c r="L44" i="6" s="1"/>
  <c r="L10" i="6"/>
  <c r="L41" i="4"/>
  <c r="L42" i="4" l="1"/>
  <c r="L45" i="4"/>
  <c r="L46" i="4" s="1"/>
  <c r="L6" i="6"/>
  <c r="L22" i="6" s="1"/>
  <c r="L32" i="6" s="1"/>
  <c r="L59" i="4"/>
  <c r="K29" i="1" s="1"/>
  <c r="K26" i="1"/>
  <c r="L57" i="6" l="1"/>
  <c r="L53" i="4"/>
  <c r="L53" i="5"/>
  <c r="L29" i="8" l="1"/>
  <c r="L30" i="8" s="1"/>
  <c r="L58" i="6"/>
  <c r="L60" i="6" s="1"/>
  <c r="L54" i="5"/>
  <c r="L54" i="4"/>
  <c r="K27" i="1"/>
  <c r="L61" i="5" l="1"/>
  <c r="L63" i="5"/>
  <c r="L62" i="6"/>
  <c r="L7" i="5"/>
  <c r="L33" i="8"/>
  <c r="L43" i="5" s="1"/>
  <c r="M28" i="8"/>
  <c r="L15" i="5" l="1"/>
  <c r="L24" i="5" s="1"/>
  <c r="M37" i="4"/>
  <c r="N100" i="2"/>
  <c r="M61" i="6"/>
  <c r="L64" i="6"/>
  <c r="M35" i="8"/>
  <c r="L64" i="5"/>
  <c r="L44" i="5"/>
  <c r="L46" i="5" s="1"/>
  <c r="L56" i="5" s="1"/>
  <c r="L58" i="5" l="1"/>
  <c r="M35" i="6"/>
  <c r="M44" i="6" s="1"/>
  <c r="M10" i="6"/>
  <c r="M41" i="4"/>
  <c r="M6" i="6" l="1"/>
  <c r="M22" i="6" s="1"/>
  <c r="M32" i="6" s="1"/>
  <c r="M45" i="4"/>
  <c r="M46" i="4" s="1"/>
  <c r="M59" i="4"/>
  <c r="L29" i="1" s="1"/>
  <c r="M42" i="4"/>
  <c r="L26" i="1"/>
  <c r="M53" i="4" l="1"/>
  <c r="M53" i="5"/>
  <c r="M54" i="5" s="1"/>
  <c r="M57" i="6"/>
  <c r="M29" i="8" l="1"/>
  <c r="M30" i="8" s="1"/>
  <c r="M33" i="8" s="1"/>
  <c r="M43" i="5" s="1"/>
  <c r="M58" i="6"/>
  <c r="M60" i="6" s="1"/>
  <c r="M61" i="5"/>
  <c r="M63" i="5"/>
  <c r="M54" i="4"/>
  <c r="L27" i="1"/>
  <c r="M64" i="5" l="1"/>
  <c r="M44" i="5"/>
  <c r="M46" i="5" s="1"/>
  <c r="M56" i="5" s="1"/>
  <c r="M62" i="6"/>
  <c r="M64" i="6" s="1"/>
  <c r="M7" i="5"/>
  <c r="M15" i="5" l="1"/>
  <c r="M24" i="5" s="1"/>
  <c r="M58" i="5" s="1"/>
  <c r="O10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9" authorId="0" shapeId="0" xr:uid="{00000000-0006-0000-0700-000007000000}">
      <text>
        <r>
          <rPr>
            <sz val="12"/>
            <color theme="1"/>
            <rFont val="Arial"/>
            <family val="2"/>
            <scheme val="minor"/>
          </rPr>
          <t>======
ID#AAAB-nMmLyM
tc={52C8AA07-1A89-4EE5-AE67-F1A6B4CA821B}    (2026-06-27 00:21:21)
[Threaded comment]
Your version of Excel allows you to read this threaded comment; however, any edits to it will get removed if the file is opened in a newer version of Excel. Learn more: https://go.microsoft.com/fwlink/?linkid=870924
Comment:
    Note 13 - Mature FY 26</t>
        </r>
      </text>
    </comment>
    <comment ref="H12" authorId="0" shapeId="0" xr:uid="{00000000-0006-0000-0700-000006000000}">
      <text>
        <r>
          <rPr>
            <sz val="12"/>
            <color theme="1"/>
            <rFont val="Arial"/>
            <family val="2"/>
            <scheme val="minor"/>
          </rPr>
          <t>======
ID#AAAB-nMmLyI
tc={B331FDC3-4B61-4753-9042-A10055988C18}    (2026-06-27 00:21:21)
[Threaded comment]
Your version of Excel allows you to read this threaded comment; however, any edits to it will get removed if the file is opened in a newer version of Excel. Learn more: https://go.microsoft.com/fwlink/?linkid=870924
Comment:
    Note 13. Mature FY 31</t>
        </r>
      </text>
    </comment>
    <comment ref="H13" authorId="0" shapeId="0" xr:uid="{00000000-0006-0000-0700-000005000000}">
      <text>
        <r>
          <rPr>
            <sz val="12"/>
            <color theme="1"/>
            <rFont val="Arial"/>
            <family val="2"/>
            <scheme val="minor"/>
          </rPr>
          <t>======
ID#AAAB-nMmLx4
tc={EDE26CF8-8EA6-421F-B044-90E58D116BE6}    (2026-06-27 00:21:21)
[Threaded comment]
Your version of Excel allows you to read this threaded comment; however, any edits to it will get removed if the file is opened in a newer version of Excel. Learn more: https://go.microsoft.com/fwlink/?linkid=870924
Comment:
    Note 27</t>
        </r>
      </text>
    </comment>
    <comment ref="H54" authorId="0" shapeId="0" xr:uid="{00000000-0006-0000-0700-000001000000}">
      <text>
        <r>
          <rPr>
            <sz val="12"/>
            <color theme="1"/>
            <rFont val="Arial"/>
            <family val="2"/>
            <scheme val="minor"/>
          </rPr>
          <t>======
ID#AAAB-nMmLyY
tc={2B1197C0-99BF-4DD9-AE90-DF4F3DD842ED}    (2026-06-27 00:21:21)
[Threaded comment]
Your version of Excel allows you to read this threaded comment; however, any edits to it will get removed if the file is opened in a newer version of Excel. Learn more: https://go.microsoft.com/fwlink/?linkid=870924
Comment:
    Note 12</t>
        </r>
      </text>
    </comment>
    <comment ref="F66" authorId="0" shapeId="0" xr:uid="{00000000-0006-0000-0700-000002000000}">
      <text>
        <r>
          <rPr>
            <sz val="12"/>
            <color theme="1"/>
            <rFont val="Arial"/>
            <family val="2"/>
            <scheme val="minor"/>
          </rPr>
          <t>======
ID#AAACD5sBtSk
tc={C66B843C-3475-4F55-809E-0094DC25F782}    (2026-07-24 00:09:17)
[Threaded comment]
Your version of Excel allows you to read this threaded comment; however, any edits to it will get removed if the file is opened in a newer version of Excel. Learn more: https://go.microsoft.com/fwlink/?linkid=870924
Comment:
    Net loss on disposal of intangibles on CFs.
Note 10 didn't include an adjustments tab yet like it does in FY25</t>
        </r>
      </text>
    </comment>
    <comment ref="G66" authorId="0" shapeId="0" xr:uid="{00000000-0006-0000-0700-000003000000}">
      <text>
        <r>
          <rPr>
            <sz val="12"/>
            <color theme="1"/>
            <rFont val="Arial"/>
            <family val="2"/>
            <scheme val="minor"/>
          </rPr>
          <t>======
ID#AAACD5sBtSc
tc={BA77F907-3A8A-4044-A09C-B8A3820F926E}    (2026-07-24 00:09:17)
[Threaded comment]
Your version of Excel allows you to read this threaded comment; however, any edits to it will get removed if the file is opened in a newer version of Excel. Learn more: https://go.microsoft.com/fwlink/?linkid=870924
Comment:
    From FY25 - Note 10 (transfers/adjustments) gave both FY25 and FY24 adjustments</t>
        </r>
      </text>
    </comment>
    <comment ref="H66" authorId="0" shapeId="0" xr:uid="{00000000-0006-0000-0700-000004000000}">
      <text>
        <r>
          <rPr>
            <sz val="12"/>
            <color theme="1"/>
            <rFont val="Arial"/>
            <family val="2"/>
            <scheme val="minor"/>
          </rPr>
          <t>======
ID#AAACD5sBtSY
tc={36ACA5BC-F422-4427-850E-A10B67201360}    (2026-07-24 00:09:17)
[Threaded comment]
Your version of Excel allows you to read this threaded comment; however, any edits to it will get removed if the file is opened in a newer version of Excel. Learn more: https://go.microsoft.com/fwlink/?linkid=870924
Comment:
    FY25 - Note 10 (transfers/adjustments) gave both FY25 and FY24 adjustments</t>
        </r>
      </text>
    </comment>
  </commentList>
  <extLst>
    <ext xmlns:r="http://schemas.openxmlformats.org/officeDocument/2006/relationships" uri="GoogleSheetsCustomDataVersion2">
      <go:sheetsCustomData xmlns:go="http://customooxmlschemas.google.com/" r:id="rId1" roundtripDataSignature="AMtx7miFwAK63G6mjg8ZjhMzjicduEc17Q=="/>
    </ext>
  </extL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2"/>
        </ext>
      </extLst>
    </bk>
  </futureMetadata>
  <cellMetadata count="1">
    <bk>
      <rc t="1" v="0"/>
    </bk>
  </cellMetadata>
  <valueMetadata count="1">
    <bk>
      <rc t="2" v="0"/>
    </bk>
  </valueMetadata>
</metadata>
</file>

<file path=xl/sharedStrings.xml><?xml version="1.0" encoding="utf-8"?>
<sst xmlns="http://schemas.openxmlformats.org/spreadsheetml/2006/main" count="1783" uniqueCount="746">
  <si>
    <t>Valuation Summary:</t>
  </si>
  <si>
    <t>(Thousands of Bahamian Dollars)</t>
  </si>
  <si>
    <t>Valuation Conclusion</t>
  </si>
  <si>
    <t>International Investor</t>
  </si>
  <si>
    <t>Domestic Investor</t>
  </si>
  <si>
    <t>Discount Rate</t>
  </si>
  <si>
    <t>Intrinsic Value/Share</t>
  </si>
  <si>
    <t>Current Price:</t>
  </si>
  <si>
    <t>Implied Upside/Downside</t>
  </si>
  <si>
    <t>Market Data and Capital Structure:</t>
  </si>
  <si>
    <t>Share Price</t>
  </si>
  <si>
    <t>Shares Outstanding:</t>
  </si>
  <si>
    <t>Current Market Cap:</t>
  </si>
  <si>
    <t>Total Debt and Preferred Shares:</t>
  </si>
  <si>
    <t>Cash &amp; Cash Equivalents:</t>
  </si>
  <si>
    <t>Enterprise Value</t>
  </si>
  <si>
    <t>Financial Summary:</t>
  </si>
  <si>
    <t>FY21</t>
  </si>
  <si>
    <t>FY22</t>
  </si>
  <si>
    <t>FY23</t>
  </si>
  <si>
    <t>FY24</t>
  </si>
  <si>
    <t>FY25</t>
  </si>
  <si>
    <t>FY26</t>
  </si>
  <si>
    <t>FY27</t>
  </si>
  <si>
    <t>FY28</t>
  </si>
  <si>
    <t>FY29</t>
  </si>
  <si>
    <t>FY30</t>
  </si>
  <si>
    <t>Total Revenue:</t>
  </si>
  <si>
    <t>Revenue Growth:</t>
  </si>
  <si>
    <t>EBITDA:</t>
  </si>
  <si>
    <t>EBITDA Margin:</t>
  </si>
  <si>
    <t>Net Income:</t>
  </si>
  <si>
    <t>Diluted EPS:</t>
  </si>
  <si>
    <t>Dividends per Share:</t>
  </si>
  <si>
    <t>Payout Ratio:</t>
  </si>
  <si>
    <t>Valuation Inputs:</t>
  </si>
  <si>
    <t>Equity Risk Premium:</t>
  </si>
  <si>
    <t>Damodaran mature market ERP, July 2026</t>
  </si>
  <si>
    <t>Risk-Free Rate: US10Y</t>
  </si>
  <si>
    <t>Risk-Free Rate: Bahamas 10Y</t>
  </si>
  <si>
    <t>Country Risk Premium (Global Investor Only):</t>
  </si>
  <si>
    <t>Damodaran Bahamas CRP, July 2026</t>
  </si>
  <si>
    <t>Terminal Growth Rate:</t>
  </si>
  <si>
    <t>Implied Terminal Multiple (Global Investor):</t>
  </si>
  <si>
    <t>Implied Terminal Multiple (Domestic Investor):</t>
  </si>
  <si>
    <t>Why Global AND Domestic Valuations?</t>
  </si>
  <si>
    <t>- The standard discount rate formula assumes the buyer can invest anywhere in the world. Starting with a U.S. Treasury, add a premium for stock market risk, then an additional premium because the Bahamas is riskier than the US.
-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 For a Bahamian buyer, Bahamas risk is not an extra premium added, it is their market.</t>
  </si>
  <si>
    <r>
      <rPr>
        <i/>
        <sz val="11"/>
        <color theme="1"/>
        <rFont val="Arial"/>
        <family val="2"/>
      </rPr>
      <t xml:space="preserve">(Thousands of Bahamian Dollars) All assumptions are highlighted in </t>
    </r>
    <r>
      <rPr>
        <i/>
        <sz val="11"/>
        <color rgb="FF0000FF"/>
        <rFont val="Arial"/>
        <family val="2"/>
      </rPr>
      <t>BLUE</t>
    </r>
  </si>
  <si>
    <t>Historical</t>
  </si>
  <si>
    <t>Projections</t>
  </si>
  <si>
    <t>Income Statement Assumptions:</t>
  </si>
  <si>
    <t>Units</t>
  </si>
  <si>
    <t>Sanity Check</t>
  </si>
  <si>
    <t>$ Thousands</t>
  </si>
  <si>
    <t>Revenue Growth Rate:</t>
  </si>
  <si>
    <t>%</t>
  </si>
  <si>
    <t>N/A</t>
  </si>
  <si>
    <t>Service Rev - Prepaid</t>
  </si>
  <si>
    <t>Higher-margin, stickier mobile base. This is the people who have monthly plans and pay. Claim to have 50% market share, growth will likely slow down gradually</t>
  </si>
  <si>
    <t>Growth Rate:</t>
  </si>
  <si>
    <t>Service Rev - Prepaid % Revenue</t>
  </si>
  <si>
    <t>Service Rev - Mobile Postpaid</t>
  </si>
  <si>
    <t>Core broadband and legacy TV business. As they upsell ALIVFibr customers into mobile bundles this should see steady growth</t>
  </si>
  <si>
    <t>Service Rev - Mobile Postpaid % Revenue</t>
  </si>
  <si>
    <t>Service Rev - Fixed Postpaid</t>
  </si>
  <si>
    <t>The legacy biz. shrank by 2.5% bc of legacy TV "cord-cutting" but ALIVFibr broadband uptake is meant to offset this. Conservative recovery.</t>
  </si>
  <si>
    <t>Service Rev - Fixed Postpaid % Revenue</t>
  </si>
  <si>
    <t>Sale of telecommunication equipment</t>
  </si>
  <si>
    <t>Sale of comms equpment % of Prepaid &amp; Mobile Postpaid Revenue</t>
  </si>
  <si>
    <t>Equipment rental revenue</t>
  </si>
  <si>
    <t>Cable TV</t>
  </si>
  <si>
    <t>The surge in equipment rental revenue isn't coming from legacy cable TV set-top boxes its being driven by the ALIVFibr rollout</t>
  </si>
  <si>
    <t>Equipment rental revenue % Fixed Postpaid</t>
  </si>
  <si>
    <t>Interconnect &amp; Roaming</t>
  </si>
  <si>
    <t>Interconnect &amp; Roaming % of Prepaid &amp; Mobile Postpaid Revenue</t>
  </si>
  <si>
    <t>Other</t>
  </si>
  <si>
    <t>Other % Revenue</t>
  </si>
  <si>
    <t>ALIV (NCIs own 51.75%)</t>
  </si>
  <si>
    <t>ALIV Revenue:</t>
  </si>
  <si>
    <t>ALIV % Total Revenue:</t>
  </si>
  <si>
    <t>ALIV SG&amp;A:</t>
  </si>
  <si>
    <t>ALIV % Total SG&amp;A</t>
  </si>
  <si>
    <t>ALIV EBITDA:</t>
  </si>
  <si>
    <t>FY25's margin was crushed by the one-off charges management flagged...normalized ALIV EBITDA margin is ~40%</t>
  </si>
  <si>
    <t>ALIV EBITDA Margin:</t>
  </si>
  <si>
    <t>ALIV D&amp;A:</t>
  </si>
  <si>
    <t>% OF D&amp;A margin should fall in same pattern as ALIV EBITDA margin as D&amp;A will decrease as ALIV rollout finishes</t>
  </si>
  <si>
    <t>ALIV % of Total D&amp;A:</t>
  </si>
  <si>
    <t>ALIV Interest Expense:</t>
  </si>
  <si>
    <t>ALIV Net Income:</t>
  </si>
  <si>
    <t>Reportable segment profit (loss) on FY25 Note 23.</t>
  </si>
  <si>
    <t>Cost of Goods Sold</t>
  </si>
  <si>
    <t>Was originally grouping direct costs (cogs) and programming costs in FY19-20 so I need to split it and match it to total operating expenses</t>
  </si>
  <si>
    <t>COGS Margin:</t>
  </si>
  <si>
    <t>Gross Margin:</t>
  </si>
  <si>
    <t>Direct Costs</t>
  </si>
  <si>
    <t>Direct Cocts % DC and PC</t>
  </si>
  <si>
    <t>Programming Costs</t>
  </si>
  <si>
    <t>Programming Costs % DC and PC</t>
  </si>
  <si>
    <t>Direct Costs &amp; Programming Costs</t>
  </si>
  <si>
    <t>SG&amp;A w/ direct costs (what shows on actual 10-K):</t>
  </si>
  <si>
    <t>Selling General &amp; Administrative (not with direct costs):</t>
  </si>
  <si>
    <t>Administrative:</t>
  </si>
  <si>
    <t>As revenue grows but headcount remains stable post-fiber build this should gain leverage. Modelling it as growing with inflation</t>
  </si>
  <si>
    <t>% Revenue</t>
  </si>
  <si>
    <t>Commercial and Customer Operations:</t>
  </si>
  <si>
    <t>Marketing was heavy during the ALIVFibr launch. Step this down slightly by FY30 as the product matures.</t>
  </si>
  <si>
    <t>Programming Costs:</t>
  </si>
  <si>
    <t>As legacy TV subscribers stop total programming costs will naturally decline</t>
  </si>
  <si>
    <t>Network Operations:</t>
  </si>
  <si>
    <t>Spiked during the active construction of the ALIVFibr network and once the Abaco fiber build is complete (mid FY27) these costs will normalize to maintenance levels</t>
  </si>
  <si>
    <t>Enginerring:</t>
  </si>
  <si>
    <t>Engineering costs peaked during the heavy nassau rollout. Stabilize at a low growth rate for routine maintenance.</t>
  </si>
  <si>
    <t>Government and Regulatory Fees:</t>
  </si>
  <si>
    <t>Reverting this back to the historical 6.1% of Rev bc the FY25 spike was a one-time tax penalty and URCA fees and business licenses scale directly with revenue so I'll keep it flat</t>
  </si>
  <si>
    <t>Other Operating Expenses</t>
  </si>
  <si>
    <t>Other Operating Income:</t>
  </si>
  <si>
    <r>
      <rPr>
        <sz val="11"/>
        <color theme="1"/>
        <rFont val="Arial"/>
        <family val="2"/>
      </rPr>
      <t xml:space="preserve">Pre-tax Cost of Debt: </t>
    </r>
    <r>
      <rPr>
        <i/>
        <sz val="9"/>
        <color theme="1"/>
        <rFont val="Arial"/>
        <family val="2"/>
      </rPr>
      <t>Interest Expense / Total Debt</t>
    </r>
  </si>
  <si>
    <t>Have a lot of risk (funding through pref. shares), so they can't get good rates for typical bank loans (current commercial borrowing rates in Bahamas 5.5%-9.5%) so they are on upper range given risk.</t>
  </si>
  <si>
    <r>
      <rPr>
        <sz val="11"/>
        <color theme="1"/>
        <rFont val="Arial"/>
        <family val="2"/>
      </rPr>
      <t xml:space="preserve">Interest Income Yield: </t>
    </r>
    <r>
      <rPr>
        <i/>
        <sz val="10"/>
        <color theme="1"/>
        <rFont val="Arial"/>
        <family val="2"/>
      </rPr>
      <t>Interest Income / Avg. Balance</t>
    </r>
  </si>
  <si>
    <t>Took midpoint of 1.74% and 2.52%</t>
  </si>
  <si>
    <r>
      <rPr>
        <sz val="11"/>
        <color theme="1"/>
        <rFont val="Arial"/>
        <family val="2"/>
      </rPr>
      <t xml:space="preserve">Average Balance: </t>
    </r>
    <r>
      <rPr>
        <i/>
        <sz val="10"/>
        <color theme="1"/>
        <rFont val="Arial"/>
        <family val="2"/>
      </rPr>
      <t>Prior cash, term deposits, st. inv + Current yr) / 2</t>
    </r>
  </si>
  <si>
    <t>Effective Tax Rate:</t>
  </si>
  <si>
    <r>
      <rPr>
        <i/>
        <sz val="11"/>
        <color theme="1"/>
        <rFont val="Arial"/>
        <family val="2"/>
      </rPr>
      <t xml:space="preserve">(Thousands of Bahamian Dollars) All assumptions are highlighted in </t>
    </r>
    <r>
      <rPr>
        <i/>
        <sz val="11"/>
        <color rgb="FF0000FF"/>
        <rFont val="Arial"/>
        <family val="2"/>
      </rPr>
      <t>BLUE</t>
    </r>
  </si>
  <si>
    <t>Balance Sheet Assumptions:</t>
  </si>
  <si>
    <t>Operating Assets:</t>
  </si>
  <si>
    <t>Term Deposits % Revenue:</t>
  </si>
  <si>
    <t>Account Receivable % Revenue:</t>
  </si>
  <si>
    <t>Prepaid Expenses &amp; Deposits % Revenue:</t>
  </si>
  <si>
    <t>Inflated at 3.4%. Note 19 states the company settled a major tax dispute with the Department of Inland Revenue</t>
  </si>
  <si>
    <t>Inventory % CoGs:</t>
  </si>
  <si>
    <t>Inventory spiked in FY25 because they were hoarding for the ALIVFibr push in Nassau. As they finish the current rollout in Abaco (mid-FY 27) inventory will normalize back to historical 11%–12%</t>
  </si>
  <si>
    <t>Contract Assets - Current % Revenue:</t>
  </si>
  <si>
    <t>Contract Assets - Non-Current % Revenue:</t>
  </si>
  <si>
    <t>Operating Liabilities:</t>
  </si>
  <si>
    <t>Account Payable % OpEx:</t>
  </si>
  <si>
    <t>Accrued Expenses % OpEx:</t>
  </si>
  <si>
    <t>Deferred Income % Revenue:</t>
  </si>
  <si>
    <t>Working Capital Schedule:</t>
  </si>
  <si>
    <t>Operating Current Assets:</t>
  </si>
  <si>
    <t>Accounts Receivable:</t>
  </si>
  <si>
    <t>Prepaid Expenses and Deposits:</t>
  </si>
  <si>
    <t>Inventories:</t>
  </si>
  <si>
    <t>Contract Assets:</t>
  </si>
  <si>
    <t>Total Operating Current Assets</t>
  </si>
  <si>
    <t>Accounts Payable</t>
  </si>
  <si>
    <t>Accrued Expenses:</t>
  </si>
  <si>
    <t>Deferred Income:</t>
  </si>
  <si>
    <t>Subscriber Deposits</t>
  </si>
  <si>
    <t>Total Operating Liabilities</t>
  </si>
  <si>
    <t>Net Working Capital</t>
  </si>
  <si>
    <t>Change in NWC</t>
  </si>
  <si>
    <t>NWC % of Revenue</t>
  </si>
  <si>
    <t>Check vs Cash Flow Statement WC</t>
  </si>
  <si>
    <t>CapEx &amp; Depreciation Schedule:</t>
  </si>
  <si>
    <t>Remaining Life of Existing Assets</t>
  </si>
  <si>
    <t>Note 9</t>
  </si>
  <si>
    <t>FY25 - pg. 56</t>
  </si>
  <si>
    <t>Useful Life Category</t>
  </si>
  <si>
    <t>NBV</t>
  </si>
  <si>
    <t>FY25 Depreciation</t>
  </si>
  <si>
    <t>Useful Life</t>
  </si>
  <si>
    <t>Land &amp; Buildings</t>
  </si>
  <si>
    <t>Network Infrastructure</t>
  </si>
  <si>
    <t>IT, Furniture &amp; Other</t>
  </si>
  <si>
    <t>Vehicles</t>
  </si>
  <si>
    <t>Total</t>
  </si>
  <si>
    <t>Life of Brand New Assets</t>
  </si>
  <si>
    <t>Gross Cost</t>
  </si>
  <si>
    <t>Depreciation</t>
  </si>
  <si>
    <t>Land (Note 9 ROU)</t>
  </si>
  <si>
    <t>Gross Cost of Land &amp; Buildings:</t>
  </si>
  <si>
    <t>Buildings</t>
  </si>
  <si>
    <t>IT, Furniture &amp; Other Equipment</t>
  </si>
  <si>
    <t>Construction in Progress</t>
  </si>
  <si>
    <t>Total (EXCLUDES Land)</t>
  </si>
  <si>
    <t>Useful Life of New PP&amp;E:</t>
  </si>
  <si>
    <t>Years</t>
  </si>
  <si>
    <t>Beginning Net PP&amp;E:</t>
  </si>
  <si>
    <r>
      <rPr>
        <sz val="11"/>
        <color theme="1"/>
        <rFont val="Arial"/>
        <family val="2"/>
      </rPr>
      <t xml:space="preserve">Annual CapEx: </t>
    </r>
    <r>
      <rPr>
        <i/>
        <sz val="10"/>
        <color rgb="FF999999"/>
        <rFont val="Arial"/>
        <family val="2"/>
      </rPr>
      <t>includes pmts for intangible assets (per them)</t>
    </r>
  </si>
  <si>
    <t>CapEx spiked to 29% of rev in FY24 at the peak of the Nassau fiber build...dropping to 21% in FY25. As of Q3 2026 CAPEX is on a $34M runway. The Nassau ALIVFibr rollout is 95% complete (FY25) and the Abaco FTTH project started FY25 and guided to take 1.5 years (by mid FY27). After FY27 there are no announced major fiber builds so they should transition to maintenance CapEx (telecom CapEx forecasted between 11-12% Rev by FY29-30)</t>
  </si>
  <si>
    <t>% Revenue:</t>
  </si>
  <si>
    <t>Link 1</t>
  </si>
  <si>
    <t>Annual Growth %:</t>
  </si>
  <si>
    <t>Link 2</t>
  </si>
  <si>
    <r>
      <rPr>
        <sz val="11"/>
        <color theme="1"/>
        <rFont val="Arial"/>
        <family val="2"/>
      </rPr>
      <t>Physical PP&amp;E Depreciation:</t>
    </r>
    <r>
      <rPr>
        <sz val="11"/>
        <color rgb="FFFF0000"/>
        <rFont val="Arial"/>
        <family val="2"/>
      </rPr>
      <t xml:space="preserve"> </t>
    </r>
    <r>
      <rPr>
        <sz val="11"/>
        <color theme="1"/>
        <rFont val="Arial"/>
        <family val="2"/>
      </rPr>
      <t>(Note 8 PP&amp;E)</t>
    </r>
  </si>
  <si>
    <t>Other Adjustments (Disposals/Reevaluations):</t>
  </si>
  <si>
    <t>Total Ending Net PP&amp;E:</t>
  </si>
  <si>
    <t>Sanity Check (Actual PP&amp;E on BS that year)</t>
  </si>
  <si>
    <t>Remaining Depreciation of Existing PP&amp;E: (Note 8 PP&amp;E)</t>
  </si>
  <si>
    <t>This divides by 5yrs because net PP&amp;E / annual depreciation</t>
  </si>
  <si>
    <t>Depreciation - FY26 New:</t>
  </si>
  <si>
    <t>Depreciation - FY27 New:</t>
  </si>
  <si>
    <t>Depreciation - FY28 New:</t>
  </si>
  <si>
    <t>Depreciation - FY29 New:</t>
  </si>
  <si>
    <t>Depreciation - FY30 New:</t>
  </si>
  <si>
    <t>Depreciation of Physical PP&amp;E:</t>
  </si>
  <si>
    <t>In FY25 finally finished developing their new FTTH billing software and implemented "several major SaaS configurations". When those projects finally went live a huge portion of costs began amortizing all at once. The FY25 spike was the peak and without those legacy telecom licenses amortization should decline heavily each year</t>
  </si>
  <si>
    <t>Amortization:</t>
  </si>
  <si>
    <t>Annual Depreciation and Amortization:</t>
  </si>
  <si>
    <t>Sanity Check (From IS)</t>
  </si>
  <si>
    <r>
      <rPr>
        <i/>
        <sz val="11"/>
        <color theme="1"/>
        <rFont val="Arial"/>
        <family val="2"/>
      </rPr>
      <t xml:space="preserve">(Thousands of Bahamian Dollars) All assumptions are highlighted in </t>
    </r>
    <r>
      <rPr>
        <i/>
        <sz val="11"/>
        <color rgb="FF0000FF"/>
        <rFont val="Arial"/>
        <family val="2"/>
      </rPr>
      <t>BLUE</t>
    </r>
  </si>
  <si>
    <t>Income Statement:</t>
  </si>
  <si>
    <t>Gross Profit:</t>
  </si>
  <si>
    <t>Operating Expenses:</t>
  </si>
  <si>
    <t>Depreciation &amp; Amortization:</t>
  </si>
  <si>
    <t>Selling General &amp; Administrative:</t>
  </si>
  <si>
    <t>Expected credit losses on financial and contract assets (note 6)</t>
  </si>
  <si>
    <t>Fair value gain/(loss) on ST Inv. (note 5)</t>
  </si>
  <si>
    <t>Other Operating Income: (NEG here means income) (note 17)</t>
  </si>
  <si>
    <t>Net gain on disposal of PP&amp;E (NEG here means income)</t>
  </si>
  <si>
    <t>Net loss on disposal of intangible assets</t>
  </si>
  <si>
    <t>Total Operating Expenses:</t>
  </si>
  <si>
    <t>Operating Income (EBIT):</t>
  </si>
  <si>
    <t>Operating (EBIT) Margin:</t>
  </si>
  <si>
    <t>Interest Expense (Notes 12, 13)</t>
  </si>
  <si>
    <t>Interest Income</t>
  </si>
  <si>
    <t>2% yield assumption * (Prior yr cash + term deposits + st inv)</t>
  </si>
  <si>
    <t>Dividends on Preference Shares</t>
  </si>
  <si>
    <t>Gain (loss) on debt extinguishment (Note 14)</t>
  </si>
  <si>
    <t>Net Income Margin:</t>
  </si>
  <si>
    <t>Supplementary Data:</t>
  </si>
  <si>
    <t>Net Income (loss) attributable to:</t>
  </si>
  <si>
    <t>Owns 100% of Cable Bahamas and 48.25% of ALIV. Historically ALIV was losing millions as it built out its network and bc the government owned 51.75% of those losses it was subtracted out of the losses and artificially inflated "Owners of the parent" Net Income</t>
  </si>
  <si>
    <t>Owners of the parent</t>
  </si>
  <si>
    <r>
      <rPr>
        <i/>
        <sz val="11"/>
        <color theme="1"/>
        <rFont val="Arial"/>
        <family val="2"/>
      </rPr>
      <t xml:space="preserve">Non-controlling interest </t>
    </r>
    <r>
      <rPr>
        <b/>
        <i/>
        <sz val="11"/>
        <color theme="1"/>
        <rFont val="Arial"/>
        <family val="2"/>
      </rPr>
      <t>(51.75% of ALIV)</t>
    </r>
  </si>
  <si>
    <t>NIC Ownership = 51.75%</t>
  </si>
  <si>
    <t>Weighted Average Diluted Shares Outstanding</t>
  </si>
  <si>
    <t>Diluted EPS (Owners of the parent):</t>
  </si>
  <si>
    <t>$</t>
  </si>
  <si>
    <t>EPS Growth Rate:</t>
  </si>
  <si>
    <t>Dividends</t>
  </si>
  <si>
    <t>Dividends Paid (Ordinary):</t>
  </si>
  <si>
    <t>Has already paid $10M by Q3 FY26 (9 months) vs. $3.5M prev 9 months.</t>
  </si>
  <si>
    <t>Dividends per Share (Ordinary):</t>
  </si>
  <si>
    <t>Dividends Paid (Preference):</t>
  </si>
  <si>
    <t>By Q3 '26 had paid $15M (9 months) vs. $17M prev 9 months so on track to pay less. Annualized to $20M</t>
  </si>
  <si>
    <r>
      <rPr>
        <i/>
        <sz val="11"/>
        <color theme="1"/>
        <rFont val="Arial"/>
        <family val="2"/>
      </rPr>
      <t xml:space="preserve">(Thousands of Bahamian Dollars) All assumptions are highlighted in </t>
    </r>
    <r>
      <rPr>
        <i/>
        <sz val="11"/>
        <color rgb="FF0000FF"/>
        <rFont val="Arial"/>
        <family val="2"/>
      </rPr>
      <t>BLUE</t>
    </r>
  </si>
  <si>
    <t>Balance Sheet:</t>
  </si>
  <si>
    <t>ASSETS:</t>
  </si>
  <si>
    <t>Current Assets:</t>
  </si>
  <si>
    <t>Term Deposits:</t>
  </si>
  <si>
    <t>Short-Term Investments:</t>
  </si>
  <si>
    <t>Inventory:</t>
  </si>
  <si>
    <t>Total Current Assets:</t>
  </si>
  <si>
    <t>Non-Current Assets:</t>
  </si>
  <si>
    <t>Property, Plants &amp; Equipment, Net:</t>
  </si>
  <si>
    <t>Intangible Assets:</t>
  </si>
  <si>
    <t>Total Non-Current Assets:</t>
  </si>
  <si>
    <t>Total Assets:</t>
  </si>
  <si>
    <t>LIABILITIES &amp; SHAREHOLDERS EQUITY:</t>
  </si>
  <si>
    <t>Current Liabilties:</t>
  </si>
  <si>
    <t>Accounts Payable:</t>
  </si>
  <si>
    <t>Current Portion of Lease Liability:</t>
  </si>
  <si>
    <t>Current Portion of Bank Loan:</t>
  </si>
  <si>
    <t>Other Loans:</t>
  </si>
  <si>
    <t>Current Portion of Preference Shares:</t>
  </si>
  <si>
    <t>Total Current Liabilties:</t>
  </si>
  <si>
    <t>Asset Retirement Obligation:</t>
  </si>
  <si>
    <t>Lease Liability (Long-term):</t>
  </si>
  <si>
    <t>Bank Loan (Long-term):</t>
  </si>
  <si>
    <t>Other Loans (Long-term)</t>
  </si>
  <si>
    <t>Preference Shares (Long-term):</t>
  </si>
  <si>
    <t>Total Non-Current Liabilties:</t>
  </si>
  <si>
    <t>Total Liabilities:</t>
  </si>
  <si>
    <t>Shareholders Equity:</t>
  </si>
  <si>
    <t>Ordinary Share Capital:</t>
  </si>
  <si>
    <t>Treasury Shares:</t>
  </si>
  <si>
    <t>Share-Based Payments Reserve:</t>
  </si>
  <si>
    <t>Non-Controlling Interest:</t>
  </si>
  <si>
    <t>Retained Earnings:</t>
  </si>
  <si>
    <t>Total Shareholders Equity:</t>
  </si>
  <si>
    <t>Total Liabilities &amp; Shareholders Equity:</t>
  </si>
  <si>
    <t>Balance Check:</t>
  </si>
  <si>
    <t>Long-term Debt:</t>
  </si>
  <si>
    <t xml:space="preserve">     Long-term Debt/Equity:</t>
  </si>
  <si>
    <t>x</t>
  </si>
  <si>
    <t>Total Debt:</t>
  </si>
  <si>
    <t xml:space="preserve">     Total Debt/Equity:</t>
  </si>
  <si>
    <t>Preference Shares</t>
  </si>
  <si>
    <r>
      <rPr>
        <i/>
        <sz val="11"/>
        <color theme="1"/>
        <rFont val="Arial"/>
        <family val="2"/>
      </rPr>
      <t xml:space="preserve">(Thousands of Bahamian Dollars) All assumptions are highlighted in </t>
    </r>
    <r>
      <rPr>
        <i/>
        <sz val="11"/>
        <color rgb="FF0000FF"/>
        <rFont val="Arial"/>
        <family val="2"/>
      </rPr>
      <t>BLUE</t>
    </r>
  </si>
  <si>
    <t>Cash Flow Statement:</t>
  </si>
  <si>
    <t>CASH FLOW FROM OPERATING ACTIVITIES:</t>
  </si>
  <si>
    <t>Adjustments for Non-Cash Charges:</t>
  </si>
  <si>
    <t>Interest Expense:</t>
  </si>
  <si>
    <t>Interest Income:</t>
  </si>
  <si>
    <t>Dividends on Preference Shares:</t>
  </si>
  <si>
    <t>(Reversal of cost)/Cost Associated with SB Options</t>
  </si>
  <si>
    <t>Write-off of Inventory</t>
  </si>
  <si>
    <t>Net Gain on Disposal of PP&amp;E</t>
  </si>
  <si>
    <t>Net Gain on Lease Modification:</t>
  </si>
  <si>
    <t>Net Loss on Extinguishment of Debt</t>
  </si>
  <si>
    <t>Net Loss on Disposal of Intangible Assets</t>
  </si>
  <si>
    <t>Expected Credit Losses on Financial and Contract Assets</t>
  </si>
  <si>
    <t>Unrealized (gain)/loss on ST-Inv.</t>
  </si>
  <si>
    <t>Realized Gain on ST-Inv.</t>
  </si>
  <si>
    <t>Other Income:</t>
  </si>
  <si>
    <t>Operating CF before changes in WC:</t>
  </si>
  <si>
    <t>Changes in Operating Assets &amp; Liabilities:</t>
  </si>
  <si>
    <t>Accounts Payable and Accrued Expenses:</t>
  </si>
  <si>
    <t>Subscriber Deposits:</t>
  </si>
  <si>
    <t>Net Change in Operating Activities:</t>
  </si>
  <si>
    <t>CASH FLOW FROM INVESTING ACTIVITIES:</t>
  </si>
  <si>
    <t>Interest Received:</t>
  </si>
  <si>
    <t>Proceeds from Maturity of Term Deposits:</t>
  </si>
  <si>
    <t>Placement of Term Deposits:</t>
  </si>
  <si>
    <t>Purchase of ST-Inv: (Note 5)</t>
  </si>
  <si>
    <t>Proceeds from Maturities/Sales of ST-Inv: (Note 5)</t>
  </si>
  <si>
    <t>Purchases of PP&amp;E / CapEX (Note 8):</t>
  </si>
  <si>
    <t>Payments for Intangible Assets:</t>
  </si>
  <si>
    <t>Proceeds from Disposal of PP&amp;E:</t>
  </si>
  <si>
    <t>Proceeds from Sale of Subsidiary</t>
  </si>
  <si>
    <t>Net Cash In Investing Activites:</t>
  </si>
  <si>
    <t>CASH FLOW FROM FINANCING ACTIVITIES:</t>
  </si>
  <si>
    <t>Repayment of Bank Loan:</t>
  </si>
  <si>
    <t>Payment of Lease Liabilities:</t>
  </si>
  <si>
    <t>Interest Paid:</t>
  </si>
  <si>
    <t>Purchase of Treasury Shares:</t>
  </si>
  <si>
    <t>Sale of Treasury Shares:</t>
  </si>
  <si>
    <t>Payment of Exercised Share-Based Option:</t>
  </si>
  <si>
    <t>Redempton of Preference Shares:</t>
  </si>
  <si>
    <t>Proceeds from Preferred Shares:</t>
  </si>
  <si>
    <t>Issued $60M in FY25 to pay off older more expensive preferred shares and lock in better rates</t>
  </si>
  <si>
    <t>Preferred Redemption (sweep)</t>
  </si>
  <si>
    <t>Links to Costs to Run tab. Keeps cash in $50M range</t>
  </si>
  <si>
    <t>Net Cash in Financing Activities:</t>
  </si>
  <si>
    <t>Net Change in Cash:</t>
  </si>
  <si>
    <t>Cash at BoP</t>
  </si>
  <si>
    <t>Cash at EoP</t>
  </si>
  <si>
    <t>Cash at 20% of Revenue:</t>
  </si>
  <si>
    <t xml:space="preserve">     Difference:</t>
  </si>
  <si>
    <r>
      <rPr>
        <i/>
        <sz val="11"/>
        <color theme="1"/>
        <rFont val="Arial"/>
        <family val="2"/>
      </rPr>
      <t xml:space="preserve">(Thousands of Bahamian Dollars) All assumptions are highlighted in </t>
    </r>
    <r>
      <rPr>
        <i/>
        <sz val="11"/>
        <color rgb="FF0000FF"/>
        <rFont val="Arial"/>
        <family val="2"/>
      </rPr>
      <t>BLUE</t>
    </r>
  </si>
  <si>
    <t>Costs to Run the Business:</t>
  </si>
  <si>
    <t>FY23 and FY25 cash figures are inflated because of the preferred share proceeds of $47M and $61M this year. Just a year ago they operated on $29M cash with no distress (OCF was positive)</t>
  </si>
  <si>
    <t>Cash Balance:</t>
  </si>
  <si>
    <t>These are what cash would be before capital allocation</t>
  </si>
  <si>
    <t>Cash % Revenue:</t>
  </si>
  <si>
    <t>Revenue:</t>
  </si>
  <si>
    <t>Scenarios</t>
  </si>
  <si>
    <t>Cash:</t>
  </si>
  <si>
    <t>Option 3</t>
  </si>
  <si>
    <t>Option 1</t>
  </si>
  <si>
    <t>Sustained operations on this</t>
  </si>
  <si>
    <t xml:space="preserve">     Cash as a % Revenue:</t>
  </si>
  <si>
    <t>Option 2</t>
  </si>
  <si>
    <t>Slightly conservative</t>
  </si>
  <si>
    <t>Even more conservative</t>
  </si>
  <si>
    <t>History shows in FY24 they were able to operate on $29M cash with no distress and 12% of revenue...I will be ultra conservative and set a cash floor of $50M (20%)</t>
  </si>
  <si>
    <t>At lean level they were able to go as low as 12% of revenue. I will be more conservative and go to 20%</t>
  </si>
  <si>
    <r>
      <rPr>
        <i/>
        <sz val="11"/>
        <color theme="1"/>
        <rFont val="Arial"/>
        <family val="2"/>
      </rPr>
      <t xml:space="preserve">(Thousands of Bahamian Dollars) All assumptions are highlighted in </t>
    </r>
    <r>
      <rPr>
        <i/>
        <sz val="11"/>
        <color rgb="FF0000FF"/>
        <rFont val="Arial"/>
        <family val="2"/>
      </rPr>
      <t>BLUE</t>
    </r>
  </si>
  <si>
    <t>Bank Loan Schedule</t>
  </si>
  <si>
    <t>Source</t>
  </si>
  <si>
    <t>BoP Bank Loan</t>
  </si>
  <si>
    <t xml:space="preserve">   New Borrwings/Proceeds from Bank Loans</t>
  </si>
  <si>
    <t xml:space="preserve">   Repayments</t>
  </si>
  <si>
    <t>EoP Bank Loan</t>
  </si>
  <si>
    <t>Actually on BS (SANITY CHECK)</t>
  </si>
  <si>
    <t>Series A Remaining:</t>
  </si>
  <si>
    <t xml:space="preserve">     Annual Series A Payment (Difference):</t>
  </si>
  <si>
    <t>Series B Remaining:</t>
  </si>
  <si>
    <t xml:space="preserve">     Annual Series B Payment (Difference):</t>
  </si>
  <si>
    <t>Since the early redemption of $20M happened theres a new Series B annual payment so we need to calculate that by taking $9,393 divided by years remaining (6)</t>
  </si>
  <si>
    <t xml:space="preserve">     Early Redemption of Series B</t>
  </si>
  <si>
    <t>Bank Loan (Long-Term):</t>
  </si>
  <si>
    <t>Avg Balance</t>
  </si>
  <si>
    <t>Interest Expense</t>
  </si>
  <si>
    <t>Interest % used for projections: Effective Rate</t>
  </si>
  <si>
    <t>Interest Expense FY25</t>
  </si>
  <si>
    <t>Lease Interest</t>
  </si>
  <si>
    <t>Note 12</t>
  </si>
  <si>
    <t>Interest (bank part)</t>
  </si>
  <si>
    <t>BoP Bank Loan Liability FY25</t>
  </si>
  <si>
    <t>Preference Shares Redemption Schedule</t>
  </si>
  <si>
    <t>BoP Balance</t>
  </si>
  <si>
    <t>The reason the FY21–FY24 current portions were $9–15M is that they had near-dated amortizing series (Series One and more) with installments coming due. The whole point was to redeem Series One and replace it with Series Two, whose first installment doesn't hit until October 31, 2030</t>
  </si>
  <si>
    <t>Repayment of Preference Shares</t>
  </si>
  <si>
    <t>EoP Balance</t>
  </si>
  <si>
    <t>FY25: The amortizing series doesn't begin redeeming until the series two on October 31, 2030 and it is a face value of $120k spread across 5 equal installments = $24,000 from Oct '30 to Oct '34</t>
  </si>
  <si>
    <t>Dividend Expense</t>
  </si>
  <si>
    <r>
      <rPr>
        <b/>
        <sz val="11"/>
        <color theme="1"/>
        <rFont val="Arial"/>
        <family val="2"/>
      </rPr>
      <t>Dividend Rate</t>
    </r>
    <r>
      <rPr>
        <b/>
        <i/>
        <sz val="11"/>
        <color rgb="FFFF0000"/>
        <rFont val="Arial"/>
        <family val="2"/>
      </rPr>
      <t xml:space="preserve"> (Im going with average)</t>
    </r>
  </si>
  <si>
    <t>Average Balance FY25</t>
  </si>
  <si>
    <t>Average Balance FY24</t>
  </si>
  <si>
    <t>Average Balance FY23</t>
  </si>
  <si>
    <t>Preferred Dividends FY25</t>
  </si>
  <si>
    <t>Preferred Dividends FY24</t>
  </si>
  <si>
    <t>Preferred Dividends FY23</t>
  </si>
  <si>
    <t xml:space="preserve">Dividend Rate </t>
  </si>
  <si>
    <t>Lease Liability Schedule</t>
  </si>
  <si>
    <t>BoP Lease Liability</t>
  </si>
  <si>
    <t>Adjustments (+ or -)</t>
  </si>
  <si>
    <t>Estimates = Last Yr. Payment * Inflation in DCF</t>
  </si>
  <si>
    <t>EoP Lease Liability</t>
  </si>
  <si>
    <t>Interest Expense on Lease Liability (Note 12)</t>
  </si>
  <si>
    <t>Interest Rate</t>
  </si>
  <si>
    <t>Interest on Lease Liability FY25:</t>
  </si>
  <si>
    <t>BoP Lease Liability FY25</t>
  </si>
  <si>
    <t>Intangible Assets Schedule</t>
  </si>
  <si>
    <t>BoP Intangibles</t>
  </si>
  <si>
    <t>Additions - New Lease Contracts</t>
  </si>
  <si>
    <t>Adjustments:</t>
  </si>
  <si>
    <t>Fodder</t>
  </si>
  <si>
    <t>Amortization for the year</t>
  </si>
  <si>
    <t>In FY25 finally finished developing their new FTTH billing software and implemented "several major SaaS configurations". When those projects finally went liv a huge portion of costs begin amortizing all at once. The FY25 spike was the peak and without those expensive legacy telecom licenses amortization should decline (~20% BoP)</t>
  </si>
  <si>
    <t>Amortization % of BoP:</t>
  </si>
  <si>
    <t>EoP Intangibles</t>
  </si>
  <si>
    <t>Difference</t>
  </si>
  <si>
    <r>
      <rPr>
        <i/>
        <sz val="11"/>
        <color theme="1"/>
        <rFont val="Arial"/>
        <family val="2"/>
      </rPr>
      <t xml:space="preserve">(Thousands of Bahamian Dollars) All assumptions are highlighted in </t>
    </r>
    <r>
      <rPr>
        <i/>
        <sz val="11"/>
        <color rgb="FF0000FF"/>
        <rFont val="Arial"/>
        <family val="2"/>
      </rPr>
      <t>BLUE</t>
    </r>
  </si>
  <si>
    <t>FCF Modelling:</t>
  </si>
  <si>
    <t>EBIT:</t>
  </si>
  <si>
    <t>Change in Net Working Capital:</t>
  </si>
  <si>
    <t>Terminal Year = -(FY30 NWC * Terminal Growth Rate)</t>
  </si>
  <si>
    <t>CapEx:</t>
  </si>
  <si>
    <t>Terminal Year CapEx = D&amp;A</t>
  </si>
  <si>
    <t>Unlevered Free Cash Flow:</t>
  </si>
  <si>
    <t>Information sourced from TIKR</t>
  </si>
  <si>
    <t>Ticker</t>
  </si>
  <si>
    <t>Comparable Companies</t>
  </si>
  <si>
    <t>Levered Beta</t>
  </si>
  <si>
    <t>Debt</t>
  </si>
  <si>
    <t>Equity</t>
  </si>
  <si>
    <t>Tax Rate</t>
  </si>
  <si>
    <t>Unlevered Beta</t>
  </si>
  <si>
    <t>LILAK</t>
  </si>
  <si>
    <t>Liberty Latin America</t>
  </si>
  <si>
    <t>ATNI</t>
  </si>
  <si>
    <t>ATN International</t>
  </si>
  <si>
    <t>TIGO</t>
  </si>
  <si>
    <t>Millicom International</t>
  </si>
  <si>
    <t>CCA</t>
  </si>
  <si>
    <t>Cogeco Communications</t>
  </si>
  <si>
    <t>0.25 unlevered beta is too low and inflating valuation</t>
  </si>
  <si>
    <t>WOW</t>
  </si>
  <si>
    <t>WideOpen West</t>
  </si>
  <si>
    <t>AMX</t>
  </si>
  <si>
    <t>America Movil</t>
  </si>
  <si>
    <t>VIV</t>
  </si>
  <si>
    <t>Telefonica Brasil</t>
  </si>
  <si>
    <t>TDS</t>
  </si>
  <si>
    <t>Telephone &amp; Data Systems</t>
  </si>
  <si>
    <t>Median:</t>
  </si>
  <si>
    <t>Damodaran Betas by Sector (Global - Jan 2026)</t>
  </si>
  <si>
    <t>Number of Firms</t>
  </si>
  <si>
    <t>D/E</t>
  </si>
  <si>
    <t>Telecom (Wireless)</t>
  </si>
  <si>
    <t>Instead of comps table using Damodaran's unlevered beta for telecom/cable (global)</t>
  </si>
  <si>
    <t>Link</t>
  </si>
  <si>
    <t>Telecom Services</t>
  </si>
  <si>
    <t>Base</t>
  </si>
  <si>
    <t>Discount Rate Calculation</t>
  </si>
  <si>
    <t>Equity Risk Premium</t>
  </si>
  <si>
    <t>Country Risk Premium</t>
  </si>
  <si>
    <t>Relevered Beta</t>
  </si>
  <si>
    <t>Cost of Debt</t>
  </si>
  <si>
    <t>Cost of Preferred Shares</t>
  </si>
  <si>
    <t>Cost of Equity (CAPM)</t>
  </si>
  <si>
    <t>MV Equity</t>
  </si>
  <si>
    <t>Shares</t>
  </si>
  <si>
    <t>MV Debt</t>
  </si>
  <si>
    <t>MV Preferred Shares</t>
  </si>
  <si>
    <t>Weight of Equity</t>
  </si>
  <si>
    <t>Weight of Debt</t>
  </si>
  <si>
    <t>Weight of Preferred Shares</t>
  </si>
  <si>
    <t>FY 30 ROIC</t>
  </si>
  <si>
    <t>Discount Period</t>
  </si>
  <si>
    <t>PV of Unlevered Free Cash Flows:</t>
  </si>
  <si>
    <t>Sensitivity Lever</t>
  </si>
  <si>
    <t>Terminal Value:</t>
  </si>
  <si>
    <t>Value</t>
  </si>
  <si>
    <t>Nominal GDP Growth Rate</t>
  </si>
  <si>
    <r>
      <rPr>
        <i/>
        <u/>
        <sz val="8"/>
        <color rgb="FF999999"/>
        <rFont val="Arial"/>
        <family val="2"/>
      </rPr>
      <t>Real long-term GDP growth (1.5) + Expected Inflation</t>
    </r>
    <r>
      <rPr>
        <i/>
        <u/>
        <sz val="8"/>
        <color rgb="FF1155CC"/>
        <rFont val="Arial"/>
        <family val="2"/>
      </rPr>
      <t xml:space="preserve"> "Over the medium term, growth is expected to slow toward the assessed potential growth rate of the economy (1½ percent)"</t>
    </r>
  </si>
  <si>
    <t>2-2.5%. Telecom is mature and GDP linked. Decent case IMO for a bit of real growth even as the ALIVfibr growth matures because the digital economy keeps finding new things to monetize so its share of GDP can creep up a touch</t>
  </si>
  <si>
    <t>Long Run Inflation Rate</t>
  </si>
  <si>
    <r>
      <rPr>
        <i/>
        <u/>
        <sz val="8"/>
        <color rgb="FF1155CC"/>
        <rFont val="Arial"/>
        <family val="2"/>
      </rPr>
      <t xml:space="preserve">https://www.theglobaleconomy.com/Bahamas/inflation_outlook_imf/  </t>
    </r>
    <r>
      <rPr>
        <i/>
        <u/>
        <sz val="8"/>
        <color rgb="FF999999"/>
        <rFont val="Arial"/>
        <family val="2"/>
      </rPr>
      <t>per IMF World Economic Outlook (2029E–2030E)</t>
    </r>
  </si>
  <si>
    <t>See sensitivity table</t>
  </si>
  <si>
    <t>Gordon Growth Terminal Value:</t>
  </si>
  <si>
    <t>Implied Terminal Multiple:</t>
  </si>
  <si>
    <t>Terminal ROIC &gt; Cost of Capital. Growth creates value so raising terminal growth rate increases fair value</t>
  </si>
  <si>
    <t>PV of Terminal Value:</t>
  </si>
  <si>
    <t>DCF Enterprise Value:</t>
  </si>
  <si>
    <t>Less:</t>
  </si>
  <si>
    <t>Bank Debt:</t>
  </si>
  <si>
    <t>Preferred Stock:</t>
  </si>
  <si>
    <t>Capital Leases:</t>
  </si>
  <si>
    <t>Plus:</t>
  </si>
  <si>
    <t>Implied Market Cap:</t>
  </si>
  <si>
    <t>Domestic vs. Global Cost of Capital</t>
  </si>
  <si>
    <t>Global Investor</t>
  </si>
  <si>
    <t>Bahamas Investor</t>
  </si>
  <si>
    <t>Risk-Free Rate (US10Y vs Bahamas10Y)</t>
  </si>
  <si>
    <t>As of July 2026</t>
  </si>
  <si>
    <t>The standard discount rate formula assumes the buyer can invest anywhere in the world. Starting with a U.S. Treasury, add a premium for stock market risk, then an additional premium because the Bahamas is riskier than the US.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For a Bahamian buyer, Bahamas risk is not an extra premium added, it is their market.</t>
  </si>
  <si>
    <t>PV of FCFs</t>
  </si>
  <si>
    <t>Terminal Value</t>
  </si>
  <si>
    <t xml:space="preserve">   Implied Terminal Multiple</t>
  </si>
  <si>
    <t>PV of Terminal Value</t>
  </si>
  <si>
    <t>Total Debt, Preferred Shares and NCI:</t>
  </si>
  <si>
    <t>Implied Market Cap</t>
  </si>
  <si>
    <t xml:space="preserve">   Shares Outstanding</t>
  </si>
  <si>
    <t>Country and Equity Risk Premiums</t>
  </si>
  <si>
    <t>Date of update:</t>
  </si>
  <si>
    <t>Implied ERP for S&amp;P 500 with adjusted dollar riskfree rate (for US Aa1 rating</t>
  </si>
  <si>
    <t>US equity risk premium computed using implied ERP approach</t>
  </si>
  <si>
    <t>Country</t>
  </si>
  <si>
    <t>Africa</t>
  </si>
  <si>
    <t>Moody's rating</t>
  </si>
  <si>
    <t>Rating-based Default Spread</t>
  </si>
  <si>
    <t>Total Equity Risk Premium</t>
  </si>
  <si>
    <t>Sovereign CDS, net of Swiss CDS</t>
  </si>
  <si>
    <t>Total Equity Risk Premium2</t>
  </si>
  <si>
    <t>Country Risk Premium3</t>
  </si>
  <si>
    <t>Abu Dhabi</t>
  </si>
  <si>
    <t>Middle East</t>
  </si>
  <si>
    <t>Aa2</t>
  </si>
  <si>
    <t>Albania</t>
  </si>
  <si>
    <t>Eastern Europe &amp; Russia</t>
  </si>
  <si>
    <t>Ba3</t>
  </si>
  <si>
    <t>NA</t>
  </si>
  <si>
    <t>Andorra (Principality of)</t>
  </si>
  <si>
    <t>Western Europe</t>
  </si>
  <si>
    <t>Baa1</t>
  </si>
  <si>
    <t>Angola</t>
  </si>
  <si>
    <t>B3</t>
  </si>
  <si>
    <t>Argentina</t>
  </si>
  <si>
    <t>Central and South America</t>
  </si>
  <si>
    <t>Caa1</t>
  </si>
  <si>
    <t>Armenia</t>
  </si>
  <si>
    <t>Aruba</t>
  </si>
  <si>
    <t>Caribbean</t>
  </si>
  <si>
    <t>Baa3</t>
  </si>
  <si>
    <t>Australia</t>
  </si>
  <si>
    <t>Australia &amp; New Zealand</t>
  </si>
  <si>
    <t>Aaa</t>
  </si>
  <si>
    <t>Austria</t>
  </si>
  <si>
    <t>Aa1</t>
  </si>
  <si>
    <t>Azerbaijan</t>
  </si>
  <si>
    <t>Bahamas</t>
  </si>
  <si>
    <t>Bahrain</t>
  </si>
  <si>
    <t>B2</t>
  </si>
  <si>
    <t>Bangladesh</t>
  </si>
  <si>
    <t>Asia</t>
  </si>
  <si>
    <t>Barbados</t>
  </si>
  <si>
    <t>C</t>
  </si>
  <si>
    <t>Belarus</t>
  </si>
  <si>
    <t>Belgium</t>
  </si>
  <si>
    <t>A1</t>
  </si>
  <si>
    <t>Belize</t>
  </si>
  <si>
    <t>Benin</t>
  </si>
  <si>
    <t>B1</t>
  </si>
  <si>
    <t>Bermuda</t>
  </si>
  <si>
    <t>Bolivia</t>
  </si>
  <si>
    <t>Caa3</t>
  </si>
  <si>
    <t>Bosnia and Herzegovina</t>
  </si>
  <si>
    <t>Botswana</t>
  </si>
  <si>
    <t>Brazil</t>
  </si>
  <si>
    <t>Ba1</t>
  </si>
  <si>
    <t>Bulgaria</t>
  </si>
  <si>
    <t>Burkina Faso</t>
  </si>
  <si>
    <t>Cambodia</t>
  </si>
  <si>
    <t>Cameroon</t>
  </si>
  <si>
    <t>Canada</t>
  </si>
  <si>
    <t>North America</t>
  </si>
  <si>
    <t>Cape Verde</t>
  </si>
  <si>
    <t>Cayman Islands</t>
  </si>
  <si>
    <t>Aa3</t>
  </si>
  <si>
    <t>Chile</t>
  </si>
  <si>
    <t>A2</t>
  </si>
  <si>
    <t>China</t>
  </si>
  <si>
    <t>Colombia</t>
  </si>
  <si>
    <t>Congo (Democratic Republic of)</t>
  </si>
  <si>
    <t>Congo (Republic of)</t>
  </si>
  <si>
    <t>Caa2</t>
  </si>
  <si>
    <t>Cook Islands</t>
  </si>
  <si>
    <t>Costa Rica</t>
  </si>
  <si>
    <t>Côte d'Ivoire</t>
  </si>
  <si>
    <t>Ba2</t>
  </si>
  <si>
    <t>Croatia</t>
  </si>
  <si>
    <t>A3</t>
  </si>
  <si>
    <t>Cuba</t>
  </si>
  <si>
    <t>Ca</t>
  </si>
  <si>
    <t>Curacao</t>
  </si>
  <si>
    <t>Cyprus</t>
  </si>
  <si>
    <t>Czech Republic</t>
  </si>
  <si>
    <t>Denmark</t>
  </si>
  <si>
    <t>Dominican Republic</t>
  </si>
  <si>
    <t>Ecuador</t>
  </si>
  <si>
    <t>Egypt</t>
  </si>
  <si>
    <t>El Salvador</t>
  </si>
  <si>
    <t>Estonia</t>
  </si>
  <si>
    <t>Ethiopia</t>
  </si>
  <si>
    <t>Fiji</t>
  </si>
  <si>
    <t>Finland</t>
  </si>
  <si>
    <t>France</t>
  </si>
  <si>
    <t>Gabon</t>
  </si>
  <si>
    <t>Georgia</t>
  </si>
  <si>
    <t>Germany</t>
  </si>
  <si>
    <t>Ghana</t>
  </si>
  <si>
    <t>Greece</t>
  </si>
  <si>
    <t>Guatemala</t>
  </si>
  <si>
    <t>Guernsey (States of)</t>
  </si>
  <si>
    <t>Honduras</t>
  </si>
  <si>
    <t>Hong Kong</t>
  </si>
  <si>
    <t>Hungary</t>
  </si>
  <si>
    <t>Baa2</t>
  </si>
  <si>
    <t>Iceland</t>
  </si>
  <si>
    <t>India</t>
  </si>
  <si>
    <t>Indonesia</t>
  </si>
  <si>
    <t>Iraq</t>
  </si>
  <si>
    <t>Ireland</t>
  </si>
  <si>
    <t>Isle of Man</t>
  </si>
  <si>
    <t>Israel</t>
  </si>
  <si>
    <t>Italy</t>
  </si>
  <si>
    <t>Jamaica</t>
  </si>
  <si>
    <t>Japan</t>
  </si>
  <si>
    <t>Jersey (States of)</t>
  </si>
  <si>
    <t>Jordan</t>
  </si>
  <si>
    <t>Kazakhstan</t>
  </si>
  <si>
    <t>Kenya</t>
  </si>
  <si>
    <t>Korea</t>
  </si>
  <si>
    <t>Kuwait</t>
  </si>
  <si>
    <t>Kyrgyzstan</t>
  </si>
  <si>
    <t>Laos</t>
  </si>
  <si>
    <t>Latvia</t>
  </si>
  <si>
    <t>Lebanon</t>
  </si>
  <si>
    <t>Liechtenstein</t>
  </si>
  <si>
    <t>Lithuania</t>
  </si>
  <si>
    <t>Luxembourg</t>
  </si>
  <si>
    <t>Macao</t>
  </si>
  <si>
    <t>Macedonia</t>
  </si>
  <si>
    <t>Malaysia</t>
  </si>
  <si>
    <t>Maldives</t>
  </si>
  <si>
    <t>Mali</t>
  </si>
  <si>
    <t>Malta</t>
  </si>
  <si>
    <t>Mauritius</t>
  </si>
  <si>
    <t>Mexico</t>
  </si>
  <si>
    <t>Moldova</t>
  </si>
  <si>
    <t>Mongolia</t>
  </si>
  <si>
    <t>Montenegro</t>
  </si>
  <si>
    <t>Montserrat</t>
  </si>
  <si>
    <t>Morocco</t>
  </si>
  <si>
    <t>Mozambique</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</si>
  <si>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</si>
  <si>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</si>
  <si>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</si>
  <si>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</si>
  <si>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</si>
  <si>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</si>
  <si>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</si>
  <si>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</si>
  <si>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</si>
  <si>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</si>
  <si>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</si>
  <si>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</si>
  <si>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</si>
  <si>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</si>
  <si>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</si>
  <si>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</si>
  <si>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</si>
  <si>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Qatar</t>
  </si>
  <si>
    <t>Ras Al Khaimah (Emirate of)</t>
  </si>
  <si>
    <t>Romania</t>
  </si>
  <si>
    <t>Rwanda</t>
  </si>
  <si>
    <t>Saudi Arabia</t>
  </si>
  <si>
    <t>Senegal</t>
  </si>
  <si>
    <t>Serbia</t>
  </si>
  <si>
    <t>Sharjah</t>
  </si>
  <si>
    <t>Singapore</t>
  </si>
  <si>
    <t>Slovakia</t>
  </si>
  <si>
    <t>Slovenia</t>
  </si>
  <si>
    <t>Solomon Islands</t>
  </si>
  <si>
    <t>South Africa</t>
  </si>
  <si>
    <t>Spain</t>
  </si>
  <si>
    <t>Sri Lanka</t>
  </si>
  <si>
    <t>St. Maarten</t>
  </si>
  <si>
    <t>St. Vincent &amp; the Grenadines</t>
  </si>
  <si>
    <t>Suriname</t>
  </si>
  <si>
    <t>Swaziland</t>
  </si>
  <si>
    <t>Sweden</t>
  </si>
  <si>
    <t>Switzerland</t>
  </si>
  <si>
    <t>Taiwan</t>
  </si>
  <si>
    <t>Tajikistan</t>
  </si>
  <si>
    <t>Tanzania</t>
  </si>
  <si>
    <t>Thailand</t>
  </si>
  <si>
    <t>Togo</t>
  </si>
  <si>
    <t>Trinidad and Tobago</t>
  </si>
  <si>
    <t>Tunisia</t>
  </si>
  <si>
    <t>Turkey</t>
  </si>
  <si>
    <t>Turks and Caicos Islands</t>
  </si>
  <si>
    <t>Uganda</t>
  </si>
  <si>
    <t>Ukraine</t>
  </si>
  <si>
    <t>United Arab Emirates</t>
  </si>
  <si>
    <t>United Kingdom</t>
  </si>
  <si>
    <t>United States</t>
  </si>
  <si>
    <t>Uruguay</t>
  </si>
  <si>
    <t>Uzbekistan</t>
  </si>
  <si>
    <t>Venezuela</t>
  </si>
  <si>
    <t>Vietnam</t>
  </si>
  <si>
    <t>Zambia</t>
  </si>
  <si>
    <t>Trailing (FY25 A)</t>
  </si>
  <si>
    <t>Forward (FY26 E)</t>
  </si>
  <si>
    <t>At Fair Value (Global)</t>
  </si>
  <si>
    <t>At Fair Value (Domestic)</t>
  </si>
  <si>
    <t>Valuation</t>
  </si>
  <si>
    <t>Price</t>
  </si>
  <si>
    <t>Shares Outstanding</t>
  </si>
  <si>
    <t>Market Cap</t>
  </si>
  <si>
    <t>Trading Multiples</t>
  </si>
  <si>
    <t>P/E</t>
  </si>
  <si>
    <t>EV/EBITDA</t>
  </si>
  <si>
    <t>P/B</t>
  </si>
  <si>
    <t>FCF Yield</t>
  </si>
  <si>
    <t>Dividend Yield</t>
  </si>
  <si>
    <t>Gross Margin</t>
  </si>
  <si>
    <t>EBITDA Margin</t>
  </si>
  <si>
    <t>EBIT Margin</t>
  </si>
  <si>
    <t>Net Income Margin</t>
  </si>
  <si>
    <t>ROE</t>
  </si>
  <si>
    <t>ROA</t>
  </si>
  <si>
    <t>ROIC</t>
  </si>
  <si>
    <t>NOPAT</t>
  </si>
  <si>
    <t>Net PP&amp;E</t>
  </si>
  <si>
    <t>Net WC</t>
  </si>
  <si>
    <t>Goodwill and Intangibles</t>
  </si>
  <si>
    <t>Interest Coverage</t>
  </si>
  <si>
    <t>Current Ratio</t>
  </si>
  <si>
    <t>Quick Ratio</t>
  </si>
  <si>
    <t>Long-term Debt / Equity</t>
  </si>
  <si>
    <t>Total Debt / Equity</t>
  </si>
  <si>
    <t>Non-Current Liabilties:</t>
  </si>
  <si>
    <t>Enterprise Value (Global Investor)</t>
  </si>
  <si>
    <r>
      <t xml:space="preserve">Coming off a CapEx boom (fiber build $52–73M/year) so D&amp;A at $67M is inflated by large bulk of recent builds now being depreciated and the sped up run off of the legacy plant being decommisitioned in the switch to FTTH. </t>
    </r>
    <r>
      <rPr>
        <b/>
        <i/>
        <sz val="10"/>
        <color theme="1"/>
        <rFont val="Arial"/>
        <family val="2"/>
      </rPr>
      <t>Note 9</t>
    </r>
    <r>
      <rPr>
        <i/>
        <sz val="10"/>
        <color theme="1"/>
        <rFont val="Arial"/>
        <family val="2"/>
      </rPr>
      <t>. Now that the build is done CapEx transitions to normalized maintenance level ($33M), and as the peak build finishes depreciating D&amp;A goes down toward that same $33M.</t>
    </r>
  </si>
  <si>
    <t>US 10-Year Treasury</t>
  </si>
  <si>
    <r>
      <t xml:space="preserve">Using Damodaran's ERP and CRP (Bahamas) in </t>
    </r>
    <r>
      <rPr>
        <b/>
        <i/>
        <sz val="10"/>
        <color rgb="FF000000"/>
        <rFont val="Arial"/>
        <family val="2"/>
      </rPr>
      <t xml:space="preserve">July 1, 2026 </t>
    </r>
    <r>
      <rPr>
        <i/>
        <sz val="10"/>
        <color rgb="FF000000"/>
        <rFont val="Arial"/>
        <family val="2"/>
      </rPr>
      <t>update</t>
    </r>
  </si>
  <si>
    <t>Interest Coverage Ratio</t>
  </si>
  <si>
    <t>Company Spread</t>
  </si>
  <si>
    <t>Pre-tax Cost of Debt</t>
  </si>
  <si>
    <t>Country Default Spread</t>
  </si>
  <si>
    <t>After-tax Cost of Debt</t>
  </si>
  <si>
    <t>Damodoran's Rating, Interest Coverage Ratios and Default Spread as of Jan. 2026</t>
  </si>
  <si>
    <t>From ERPs by Country tab</t>
  </si>
  <si>
    <t>WACC</t>
  </si>
  <si>
    <t>Cost of Equity</t>
  </si>
  <si>
    <t>Cost of Preferred</t>
  </si>
  <si>
    <t>Beta</t>
  </si>
  <si>
    <t>Note 14 "During the year, the Group refinanced and redeemed Series One preferred shares with the issuance
of Series Two preferred shares with a dividend rate of 8.00%"</t>
  </si>
  <si>
    <t>Upper</t>
  </si>
  <si>
    <t>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</si>
</sst>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6" formatCode="&quot;$&quot;#,##0_);[Red]\(&quot;$&quot;#,##0\)"/>
    <numFmt numFmtId="43" formatCode="_(* #,##0.00_);_(* \(#,##0.00\);_(* &quot;-&quot;??_);_(@_)"/>
    <numFmt numFmtId="164" formatCode="\$#,##0.00"/>
    <numFmt numFmtId="165" formatCode="0%;\(0%\)"/>
    <numFmt numFmtId="166" formatCode="#,##0;\(#,##0\);\-"/>
    <numFmt numFmtId="167" formatCode="#,##0;\(#,##0\)"/>
    <numFmt numFmtId="168" formatCode="0.0%;\(0.0%\)"/>
    <numFmt numFmtId="169" formatCode="#,##0.00;\(#,##0.00\)"/>
    <numFmt numFmtId="170" formatCode="0.0\x"/>
    <numFmt numFmtId="171" formatCode="0.0&quot;x&quot;"/>
    <numFmt numFmtId="172" formatCode="&quot;FY&quot;yy"/>
    <numFmt numFmtId="173" formatCode="0.0%"/>
    <numFmt numFmtId="174" formatCode="0.00%;\(0.00%\)"/>
    <numFmt numFmtId="175" formatCode="_(&quot;$&quot;* #,##0_);_(&quot;$&quot;* \(#,##0\);_(&quot;$&quot;* &quot;-&quot;??_);_(@_)"/>
    <numFmt numFmtId="176" formatCode="&quot;$&quot;#,##0"/>
    <numFmt numFmtId="177" formatCode="0.00&quot;x&quot;"/>
    <numFmt numFmtId="179" formatCode="&quot;$&quot;#,##0.00"/>
    <numFmt numFmtId="180" formatCode="0.00%;\(0.00%\);\-"/>
    <numFmt numFmtId="181" formatCode="[$-409]d\-mmm\-yy"/>
  </numFmts>
  <fonts count="88">
    <font>
      <sz val="12"/>
      <color theme="1"/>
      <name val="Arial"/>
      <scheme val="minor"/>
    </font>
    <font>
      <sz val="11"/>
      <color theme="1"/>
      <name val="Arial"/>
      <family val="2"/>
      <scheme val="minor"/>
    </font>
    <font>
      <sz val="12"/>
      <color theme="1"/>
      <name val="Arial"/>
      <family val="2"/>
    </font>
    <font>
      <b/>
      <sz val="11"/>
      <color rgb="FFFFFFFF"/>
      <name val="Arial"/>
      <family val="2"/>
    </font>
    <font>
      <i/>
      <sz val="11"/>
      <color theme="1"/>
      <name val="Arial"/>
      <family val="2"/>
    </font>
    <font>
      <b/>
      <sz val="11"/>
      <color theme="1"/>
      <name val="Arial"/>
      <family val="2"/>
    </font>
    <font>
      <sz val="11"/>
      <color theme="1"/>
      <name val="Arial"/>
      <family val="2"/>
    </font>
    <font>
      <b/>
      <i/>
      <sz val="11"/>
      <color rgb="FFFF0000"/>
      <name val="Arial"/>
      <family val="2"/>
    </font>
    <font>
      <b/>
      <sz val="11"/>
      <color rgb="FFFFFFFF"/>
      <name val="Calibri"/>
      <family val="2"/>
    </font>
    <font>
      <b/>
      <sz val="11"/>
      <color rgb="FFFF0000"/>
      <name val="Calibri"/>
      <family val="2"/>
    </font>
    <font>
      <i/>
      <sz val="9"/>
      <color theme="1"/>
      <name val="Arial"/>
      <family val="2"/>
    </font>
    <font>
      <b/>
      <sz val="11"/>
      <color theme="0"/>
      <name val="Calibri"/>
      <family val="2"/>
    </font>
    <font>
      <sz val="12"/>
      <name val="Arial"/>
      <family val="2"/>
    </font>
    <font>
      <b/>
      <sz val="11"/>
      <color theme="0"/>
      <name val="Arial"/>
      <family val="2"/>
    </font>
    <font>
      <b/>
      <i/>
      <sz val="11"/>
      <color theme="0"/>
      <name val="Arial"/>
      <family val="2"/>
    </font>
    <font>
      <i/>
      <sz val="11"/>
      <color rgb="FFFF0000"/>
      <name val="Arial"/>
      <family val="2"/>
    </font>
    <font>
      <sz val="9"/>
      <color theme="1"/>
      <name val="Arial"/>
      <family val="2"/>
    </font>
    <font>
      <b/>
      <i/>
      <sz val="11"/>
      <color theme="1"/>
      <name val="Arial"/>
      <family val="2"/>
    </font>
    <font>
      <b/>
      <sz val="12"/>
      <color theme="1"/>
      <name val="Arial"/>
      <family val="2"/>
    </font>
    <font>
      <b/>
      <sz val="11"/>
      <color rgb="FF0000FF"/>
      <name val="Arial"/>
      <family val="2"/>
    </font>
    <font>
      <b/>
      <i/>
      <sz val="11"/>
      <color rgb="FF0000FF"/>
      <name val="Arial"/>
      <family val="2"/>
    </font>
    <font>
      <i/>
      <sz val="11"/>
      <color rgb="FF0000FF"/>
      <name val="Arial"/>
      <family val="2"/>
    </font>
    <font>
      <sz val="11"/>
      <color rgb="FF666666"/>
      <name val="Arial"/>
      <family val="2"/>
    </font>
    <font>
      <i/>
      <sz val="11"/>
      <color rgb="FF666666"/>
      <name val="Arial"/>
      <family val="2"/>
    </font>
    <font>
      <sz val="11"/>
      <color rgb="FFC99466"/>
      <name val="Arial"/>
      <family val="2"/>
    </font>
    <font>
      <sz val="12"/>
      <color rgb="FFC99466"/>
      <name val="Arial"/>
      <family val="2"/>
      <scheme val="minor"/>
    </font>
    <font>
      <b/>
      <sz val="13"/>
      <color theme="1"/>
      <name val="Arial"/>
      <family val="2"/>
    </font>
    <font>
      <sz val="11"/>
      <color rgb="FF0000FF"/>
      <name val="Arial"/>
      <family val="2"/>
    </font>
    <font>
      <b/>
      <sz val="11"/>
      <color rgb="FF999999"/>
      <name val="Arial"/>
      <family val="2"/>
    </font>
    <font>
      <b/>
      <i/>
      <sz val="11"/>
      <color rgb="FF999999"/>
      <name val="Arial"/>
      <family val="2"/>
    </font>
    <font>
      <sz val="11"/>
      <color rgb="FFFF0000"/>
      <name val="Arial"/>
      <family val="2"/>
    </font>
    <font>
      <b/>
      <sz val="11"/>
      <color rgb="FF000000"/>
      <name val="Arial"/>
      <family val="2"/>
    </font>
    <font>
      <sz val="11"/>
      <color rgb="FF000000"/>
      <name val="Arial"/>
      <family val="2"/>
    </font>
    <font>
      <i/>
      <sz val="11"/>
      <color theme="1"/>
      <name val="Arial"/>
      <family val="2"/>
      <scheme val="minor"/>
    </font>
    <font>
      <i/>
      <sz val="11"/>
      <color rgb="FF000000"/>
      <name val="Arial"/>
      <family val="2"/>
    </font>
    <font>
      <b/>
      <sz val="11"/>
      <color theme="1"/>
      <name val="Arial"/>
      <family val="2"/>
      <scheme val="minor"/>
    </font>
    <font>
      <strike/>
      <sz val="11"/>
      <color theme="1"/>
      <name val="Arial"/>
      <family val="2"/>
    </font>
    <font>
      <sz val="11"/>
      <color rgb="FF000000"/>
      <name val="Calibri"/>
      <family val="2"/>
    </font>
    <font>
      <sz val="10"/>
      <color theme="1"/>
      <name val="Arial"/>
      <family val="2"/>
    </font>
    <font>
      <i/>
      <sz val="10"/>
      <color theme="1"/>
      <name val="Arial"/>
      <family val="2"/>
    </font>
    <font>
      <i/>
      <sz val="9"/>
      <color rgb="FF0000FF"/>
      <name val="Arial"/>
      <family val="2"/>
    </font>
    <font>
      <u/>
      <sz val="10"/>
      <color theme="10"/>
      <name val="Arial"/>
      <family val="2"/>
    </font>
    <font>
      <i/>
      <sz val="10"/>
      <color rgb="FFFF0000"/>
      <name val="Arial"/>
      <family val="2"/>
    </font>
    <font>
      <b/>
      <i/>
      <sz val="10"/>
      <color rgb="FFFF0000"/>
      <name val="Arial"/>
      <family val="2"/>
    </font>
    <font>
      <i/>
      <sz val="9"/>
      <color rgb="FFCCCCCC"/>
      <name val="Arial"/>
      <family val="2"/>
    </font>
    <font>
      <sz val="9"/>
      <color rgb="FFCCCCCC"/>
      <name val="Arial"/>
      <family val="2"/>
    </font>
    <font>
      <i/>
      <sz val="12"/>
      <color theme="1"/>
      <name val="Arial"/>
      <family val="2"/>
    </font>
    <font>
      <i/>
      <sz val="10"/>
      <color rgb="FF999999"/>
      <name val="Arial"/>
      <family val="2"/>
    </font>
    <font>
      <b/>
      <i/>
      <sz val="11"/>
      <color rgb="FFFFFFFF"/>
      <name val="Arial"/>
      <family val="2"/>
    </font>
    <font>
      <sz val="10"/>
      <color rgb="FF999999"/>
      <name val="Arial"/>
      <family val="2"/>
    </font>
    <font>
      <sz val="10"/>
      <color rgb="FFFF0000"/>
      <name val="Arial"/>
      <family val="2"/>
    </font>
    <font>
      <sz val="10"/>
      <color rgb="FF0000FF"/>
      <name val="Arial"/>
      <family val="2"/>
    </font>
    <font>
      <b/>
      <i/>
      <sz val="10"/>
      <color theme="1"/>
      <name val="Arial"/>
      <family val="2"/>
    </font>
    <font>
      <b/>
      <sz val="10"/>
      <color theme="1"/>
      <name val="Arial"/>
      <family val="2"/>
    </font>
    <font>
      <sz val="10"/>
      <color rgb="FFCCCCCC"/>
      <name val="Arial"/>
      <family val="2"/>
    </font>
    <font>
      <i/>
      <sz val="10"/>
      <color rgb="FFCCCCCC"/>
      <name val="Arial"/>
      <family val="2"/>
    </font>
    <font>
      <u/>
      <sz val="11"/>
      <color theme="10"/>
      <name val="Arial"/>
      <family val="2"/>
    </font>
    <font>
      <u/>
      <sz val="11"/>
      <color rgb="FF0000FF"/>
      <name val="Arial"/>
      <family val="2"/>
    </font>
    <font>
      <i/>
      <sz val="11"/>
      <color rgb="FFFFFFFF"/>
      <name val="Arial"/>
      <family val="2"/>
    </font>
    <font>
      <sz val="11"/>
      <color rgb="FFFFFFFF"/>
      <name val="Arial"/>
      <family val="2"/>
    </font>
    <font>
      <sz val="11"/>
      <color rgb="FF0000FF"/>
      <name val="Arial"/>
      <family val="2"/>
      <scheme val="minor"/>
    </font>
    <font>
      <i/>
      <u/>
      <sz val="11"/>
      <color rgb="FF0000FF"/>
      <name val="Arial"/>
      <family val="2"/>
    </font>
    <font>
      <b/>
      <sz val="11"/>
      <color rgb="FFFF0000"/>
      <name val="Arial"/>
      <family val="2"/>
    </font>
    <font>
      <b/>
      <i/>
      <sz val="11"/>
      <color rgb="FF7F7F7F"/>
      <name val="Arial"/>
      <family val="2"/>
    </font>
    <font>
      <i/>
      <u/>
      <sz val="8"/>
      <color rgb="FF1155CC"/>
      <name val="Arial"/>
      <family val="2"/>
    </font>
    <font>
      <i/>
      <u/>
      <sz val="8"/>
      <color rgb="FF1155CC"/>
      <name val="Arial"/>
      <family val="2"/>
    </font>
    <font>
      <b/>
      <i/>
      <sz val="8"/>
      <color theme="1"/>
      <name val="Arial"/>
      <family val="2"/>
    </font>
    <font>
      <sz val="12"/>
      <color theme="1"/>
      <name val="Arial"/>
      <family val="2"/>
      <scheme val="minor"/>
    </font>
    <font>
      <b/>
      <sz val="14"/>
      <color rgb="FFFFFFFF"/>
      <name val="Arial"/>
      <family val="2"/>
    </font>
    <font>
      <u/>
      <sz val="10"/>
      <color rgb="FF1155CC"/>
      <name val="Arial"/>
      <family val="2"/>
    </font>
    <font>
      <b/>
      <sz val="12"/>
      <color theme="1"/>
      <name val="Times"/>
    </font>
    <font>
      <u/>
      <sz val="11"/>
      <color rgb="FF1155CC"/>
      <name val="Arial"/>
      <family val="2"/>
    </font>
    <font>
      <sz val="12"/>
      <color theme="1"/>
      <name val="Times"/>
    </font>
    <font>
      <sz val="9"/>
      <color theme="1"/>
      <name val="Arimo"/>
    </font>
    <font>
      <i/>
      <sz val="9"/>
      <color theme="1"/>
      <name val="Arimo"/>
    </font>
    <font>
      <b/>
      <i/>
      <sz val="12"/>
      <color theme="1"/>
      <name val="Times"/>
    </font>
    <font>
      <sz val="9"/>
      <color rgb="FF7F7F7F"/>
      <name val="Arial"/>
      <family val="2"/>
    </font>
    <font>
      <i/>
      <u/>
      <sz val="8"/>
      <color rgb="FF999999"/>
      <name val="Arial"/>
      <family val="2"/>
    </font>
    <font>
      <i/>
      <sz val="10"/>
      <color theme="1"/>
      <name val="Arial"/>
      <family val="2"/>
      <scheme val="minor"/>
    </font>
    <font>
      <i/>
      <sz val="10"/>
      <name val="Arial"/>
      <family val="2"/>
    </font>
    <font>
      <sz val="10"/>
      <name val="Arial"/>
      <family val="2"/>
    </font>
    <font>
      <sz val="10"/>
      <color theme="1"/>
      <name val="Arial"/>
      <family val="2"/>
      <scheme val="minor"/>
    </font>
    <font>
      <i/>
      <u/>
      <sz val="10"/>
      <color rgb="FF0000FF"/>
      <name val="Arial"/>
      <family val="2"/>
    </font>
    <font>
      <i/>
      <sz val="10"/>
      <color rgb="FF000000"/>
      <name val="Arial"/>
      <family val="2"/>
    </font>
    <font>
      <sz val="12"/>
      <color theme="1"/>
      <name val="Arial"/>
      <family val="2"/>
      <scheme val="minor"/>
    </font>
    <font>
      <b/>
      <i/>
      <sz val="10"/>
      <color rgb="FF000000"/>
      <name val="Arial"/>
      <family val="2"/>
    </font>
    <font>
      <i/>
      <sz val="11"/>
      <color rgb="FF70AD47"/>
      <name val="Arial"/>
      <family val="2"/>
    </font>
    <font>
      <i/>
      <sz val="11"/>
      <name val="Arial"/>
      <family val="2"/>
    </font>
  </fonts>
  <fills count="18">
    <fill>
      <patternFill patternType="none"/>
    </fill>
    <fill>
      <patternFill patternType="gray125"/>
    </fill>
    <fill>
      <patternFill patternType="solid">
        <fgColor rgb="FF222A35"/>
        <bgColor rgb="FF222A35"/>
      </patternFill>
    </fill>
    <fill>
      <patternFill patternType="solid">
        <fgColor rgb="FFFF9900"/>
        <bgColor rgb="FFFF9900"/>
      </patternFill>
    </fill>
    <fill>
      <patternFill patternType="solid">
        <fgColor rgb="FFCCCCCC"/>
        <bgColor rgb="FFCCCCCC"/>
      </patternFill>
    </fill>
    <fill>
      <patternFill patternType="solid">
        <fgColor rgb="FFFFFF00"/>
        <bgColor rgb="FFFFFF00"/>
      </patternFill>
    </fill>
    <fill>
      <patternFill patternType="solid">
        <fgColor rgb="FFB7B7B7"/>
        <bgColor rgb="FFB7B7B7"/>
      </patternFill>
    </fill>
    <fill>
      <patternFill patternType="solid">
        <fgColor rgb="FFBFBFBF"/>
        <bgColor rgb="FFBFBFBF"/>
      </patternFill>
    </fill>
    <fill>
      <patternFill patternType="solid">
        <fgColor theme="6"/>
        <bgColor theme="6"/>
      </patternFill>
    </fill>
    <fill>
      <patternFill patternType="solid">
        <fgColor rgb="FF0B5394"/>
        <bgColor rgb="FF0B5394"/>
      </patternFill>
    </fill>
    <fill>
      <patternFill patternType="solid">
        <fgColor rgb="FF9FC5E8"/>
        <bgColor rgb="FF9FC5E8"/>
      </patternFill>
    </fill>
    <fill>
      <patternFill patternType="solid">
        <fgColor rgb="FF674EA7"/>
        <bgColor rgb="FF674EA7"/>
      </patternFill>
    </fill>
    <fill>
      <patternFill patternType="solid">
        <fgColor rgb="FFFF0000"/>
        <bgColor rgb="FFFF0000"/>
      </patternFill>
    </fill>
    <fill>
      <patternFill patternType="solid">
        <fgColor theme="0"/>
        <bgColor theme="0"/>
      </patternFill>
    </fill>
    <fill>
      <patternFill patternType="solid">
        <fgColor rgb="FFD8D8D8"/>
        <bgColor rgb="FFD8D8D8"/>
      </patternFill>
    </fill>
    <fill>
      <patternFill patternType="solid">
        <fgColor rgb="FFFCF305"/>
        <bgColor rgb="FFFCF305"/>
      </patternFill>
    </fill>
    <fill>
      <patternFill patternType="solid">
        <fgColor rgb="FFFFFFFF"/>
        <bgColor rgb="FFFFFFFF"/>
      </patternFill>
    </fill>
    <fill>
      <patternFill patternType="solid">
        <fgColor rgb="FFD9D9D9"/>
        <bgColor rgb="FFD9D9D9"/>
      </patternFill>
    </fill>
  </fills>
  <borders count="62">
    <border>
      <left/>
      <right/>
      <top/>
      <bottom/>
      <diagonal/>
    </border>
    <border>
      <left/>
      <right/>
      <top/>
      <bottom/>
      <diagonal/>
    </border>
    <border>
      <left/>
      <right/>
      <top/>
      <bottom/>
      <diagonal/>
    </border>
    <border>
      <left/>
      <right/>
      <top/>
      <bottom style="thin">
        <color theme="0"/>
      </bottom>
      <diagonal/>
    </border>
    <border>
      <left/>
      <right/>
      <top/>
      <bottom style="thin">
        <color theme="0"/>
      </bottom>
      <diagonal/>
    </border>
    <border>
      <left/>
      <right/>
      <top/>
      <bottom style="thin">
        <color theme="0"/>
      </bottom>
      <diagonal/>
    </border>
    <border>
      <left/>
      <right/>
      <top/>
      <bottom style="thin">
        <color rgb="FF000000"/>
      </bottom>
      <diagonal/>
    </border>
    <border>
      <left/>
      <right/>
      <top style="thin">
        <color theme="0"/>
      </top>
      <bottom style="thin">
        <color rgb="FF000000"/>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top style="thin">
        <color theme="0"/>
      </top>
      <bottom/>
      <diagonal/>
    </border>
    <border>
      <left style="thin">
        <color rgb="FF000000"/>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theme="0"/>
      </bottom>
      <diagonal/>
    </border>
    <border>
      <left/>
      <right/>
      <top style="thin">
        <color rgb="FF000000"/>
      </top>
      <bottom style="thin">
        <color theme="0"/>
      </bottom>
      <diagonal/>
    </border>
    <border>
      <left/>
      <right/>
      <top style="thin">
        <color rgb="FF000000"/>
      </top>
      <bottom style="thin">
        <color theme="0"/>
      </bottom>
      <diagonal/>
    </border>
    <border>
      <left/>
      <right style="thin">
        <color rgb="FF000000"/>
      </right>
      <top style="thin">
        <color rgb="FF000000"/>
      </top>
      <bottom style="thin">
        <color theme="0"/>
      </bottom>
      <diagonal/>
    </border>
    <border>
      <left/>
      <right style="thin">
        <color rgb="FF000000"/>
      </right>
      <top style="thin">
        <color theme="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rgb="FF000000"/>
      </right>
      <top/>
      <bottom/>
      <diagonal/>
    </border>
  </borders>
  <cellStyleXfs count="3">
    <xf numFmtId="0" fontId="0" fillId="0" borderId="0"/>
    <xf numFmtId="43" fontId="84" fillId="0" borderId="0" applyFont="0" applyFill="0" applyBorder="0" applyAlignment="0" applyProtection="0"/>
    <xf numFmtId="9" fontId="84" fillId="0" borderId="0" applyFont="0" applyFill="0" applyBorder="0" applyAlignment="0" applyProtection="0"/>
  </cellStyleXfs>
  <cellXfs count="708">
    <xf numFmtId="0" fontId="0" fillId="0" borderId="0" xfId="0"/>
    <xf numFmtId="0" fontId="2" fillId="2" borderId="0" xfId="0" applyFont="1" applyFill="1"/>
    <xf numFmtId="0" fontId="3" fillId="2" borderId="1" xfId="0" applyFont="1" applyFill="1" applyBorder="1"/>
    <xf numFmtId="0" fontId="2" fillId="2" borderId="1" xfId="0" applyFont="1" applyFill="1" applyBorder="1"/>
    <xf numFmtId="0" fontId="2" fillId="0" borderId="0" xfId="0" applyFont="1"/>
    <xf numFmtId="0" fontId="4" fillId="0" borderId="0" xfId="0" applyFont="1"/>
    <xf numFmtId="0" fontId="2" fillId="0" borderId="2" xfId="0" applyFont="1" applyBorder="1"/>
    <xf numFmtId="0" fontId="6" fillId="0" borderId="0" xfId="0" applyFont="1"/>
    <xf numFmtId="10" fontId="6" fillId="0" borderId="0" xfId="0" applyNumberFormat="1" applyFont="1" applyAlignment="1">
      <alignment horizontal="center"/>
    </xf>
    <xf numFmtId="0" fontId="5" fillId="0" borderId="1" xfId="0" applyFont="1" applyBorder="1"/>
    <xf numFmtId="164" fontId="5" fillId="0" borderId="0" xfId="0" applyNumberFormat="1" applyFont="1" applyAlignment="1">
      <alignment horizontal="center"/>
    </xf>
    <xf numFmtId="164" fontId="6" fillId="0" borderId="0" xfId="0" applyNumberFormat="1" applyFont="1" applyAlignment="1">
      <alignment horizontal="center"/>
    </xf>
    <xf numFmtId="164" fontId="2" fillId="0" borderId="0" xfId="0" applyNumberFormat="1" applyFont="1"/>
    <xf numFmtId="166" fontId="6" fillId="0" borderId="0" xfId="0" applyNumberFormat="1" applyFont="1" applyAlignment="1">
      <alignment horizontal="center"/>
    </xf>
    <xf numFmtId="0" fontId="5" fillId="0" borderId="0" xfId="0" applyFont="1"/>
    <xf numFmtId="166" fontId="5" fillId="0" borderId="0" xfId="0" applyNumberFormat="1" applyFont="1" applyAlignment="1">
      <alignment horizontal="center"/>
    </xf>
    <xf numFmtId="49" fontId="6" fillId="0" borderId="0" xfId="0" applyNumberFormat="1" applyFont="1"/>
    <xf numFmtId="166" fontId="5" fillId="0" borderId="1" xfId="0" applyNumberFormat="1" applyFont="1" applyBorder="1" applyAlignment="1">
      <alignment horizontal="center"/>
    </xf>
    <xf numFmtId="0" fontId="8" fillId="2" borderId="2" xfId="0" applyFont="1" applyFill="1" applyBorder="1" applyAlignment="1">
      <alignment horizontal="center"/>
    </xf>
    <xf numFmtId="0" fontId="9" fillId="2" borderId="2" xfId="0" applyFont="1" applyFill="1" applyBorder="1" applyAlignment="1">
      <alignment horizontal="center"/>
    </xf>
    <xf numFmtId="167" fontId="6" fillId="0" borderId="0" xfId="0" applyNumberFormat="1" applyFont="1" applyAlignment="1">
      <alignment horizontal="center"/>
    </xf>
    <xf numFmtId="168" fontId="6" fillId="0" borderId="0" xfId="0" applyNumberFormat="1" applyFont="1" applyAlignment="1">
      <alignment horizontal="center"/>
    </xf>
    <xf numFmtId="165" fontId="6" fillId="0" borderId="0" xfId="0" applyNumberFormat="1" applyFont="1" applyAlignment="1">
      <alignment horizontal="center"/>
    </xf>
    <xf numFmtId="169" fontId="6" fillId="0" borderId="0" xfId="0" applyNumberFormat="1" applyFont="1" applyAlignment="1">
      <alignment horizontal="center"/>
    </xf>
    <xf numFmtId="2" fontId="6" fillId="0" borderId="0" xfId="0" applyNumberFormat="1" applyFont="1" applyAlignment="1">
      <alignment horizontal="center"/>
    </xf>
    <xf numFmtId="2" fontId="2" fillId="0" borderId="0" xfId="0" applyNumberFormat="1" applyFont="1"/>
    <xf numFmtId="0" fontId="10" fillId="0" borderId="0" xfId="0" applyFont="1"/>
    <xf numFmtId="170" fontId="6" fillId="0" borderId="0" xfId="0" applyNumberFormat="1" applyFont="1" applyAlignment="1">
      <alignment horizontal="center"/>
    </xf>
    <xf numFmtId="171" fontId="6" fillId="0" borderId="0" xfId="0" applyNumberFormat="1"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6" fillId="2" borderId="1" xfId="0" applyFont="1" applyFill="1" applyBorder="1"/>
    <xf numFmtId="0" fontId="4" fillId="2" borderId="1" xfId="0" applyFont="1" applyFill="1" applyBorder="1" applyAlignment="1">
      <alignment horizontal="center"/>
    </xf>
    <xf numFmtId="0" fontId="11" fillId="2" borderId="1" xfId="0" applyFont="1" applyFill="1" applyBorder="1" applyAlignment="1">
      <alignment horizontal="center"/>
    </xf>
    <xf numFmtId="0" fontId="13" fillId="2" borderId="6" xfId="0" applyFont="1" applyFill="1" applyBorder="1" applyAlignment="1">
      <alignment vertical="center"/>
    </xf>
    <xf numFmtId="0" fontId="5" fillId="2" borderId="6" xfId="0" applyFont="1" applyFill="1" applyBorder="1" applyAlignment="1">
      <alignment vertical="center"/>
    </xf>
    <xf numFmtId="172" fontId="14" fillId="2" borderId="6" xfId="0" applyNumberFormat="1" applyFont="1" applyFill="1" applyBorder="1" applyAlignment="1">
      <alignment horizontal="center" vertical="center"/>
    </xf>
    <xf numFmtId="0" fontId="8" fillId="2" borderId="6"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xf>
    <xf numFmtId="167" fontId="16" fillId="0" borderId="0" xfId="0" applyNumberFormat="1" applyFont="1" applyAlignment="1">
      <alignment horizontal="center" vertical="center"/>
    </xf>
    <xf numFmtId="0" fontId="6" fillId="0" borderId="8" xfId="0" applyFont="1" applyBorder="1"/>
    <xf numFmtId="0" fontId="5" fillId="0" borderId="9" xfId="0" applyFont="1" applyBorder="1"/>
    <xf numFmtId="0" fontId="17" fillId="0" borderId="9" xfId="0" applyFont="1" applyBorder="1" applyAlignment="1">
      <alignment horizontal="center"/>
    </xf>
    <xf numFmtId="167" fontId="5" fillId="0" borderId="9" xfId="0" applyNumberFormat="1" applyFont="1" applyBorder="1" applyAlignment="1">
      <alignment horizontal="center"/>
    </xf>
    <xf numFmtId="167" fontId="5" fillId="0" borderId="10" xfId="0" applyNumberFormat="1" applyFont="1" applyBorder="1" applyAlignment="1">
      <alignment horizontal="center"/>
    </xf>
    <xf numFmtId="49" fontId="4" fillId="0" borderId="0" xfId="0" applyNumberFormat="1" applyFont="1"/>
    <xf numFmtId="168" fontId="4" fillId="0" borderId="0" xfId="0" applyNumberFormat="1" applyFont="1" applyAlignment="1">
      <alignment horizontal="center"/>
    </xf>
    <xf numFmtId="168" fontId="4" fillId="0" borderId="8" xfId="0" applyNumberFormat="1" applyFont="1" applyBorder="1" applyAlignment="1">
      <alignment horizontal="center"/>
    </xf>
    <xf numFmtId="0" fontId="6" fillId="0" borderId="0" xfId="0" applyFont="1" applyAlignment="1">
      <alignment wrapText="1"/>
    </xf>
    <xf numFmtId="0" fontId="6" fillId="0" borderId="8" xfId="0" applyFont="1" applyBorder="1" applyAlignment="1">
      <alignment horizontal="center"/>
    </xf>
    <xf numFmtId="0" fontId="18" fillId="0" borderId="0" xfId="0" applyFont="1"/>
    <xf numFmtId="0" fontId="17" fillId="0" borderId="0" xfId="0" applyFont="1" applyAlignment="1">
      <alignment horizontal="center"/>
    </xf>
    <xf numFmtId="167" fontId="19" fillId="0" borderId="0" xfId="0" applyNumberFormat="1" applyFont="1" applyAlignment="1">
      <alignment horizontal="center"/>
    </xf>
    <xf numFmtId="167" fontId="5" fillId="0" borderId="0" xfId="0" applyNumberFormat="1" applyFont="1" applyAlignment="1">
      <alignment horizontal="center"/>
    </xf>
    <xf numFmtId="167" fontId="20" fillId="0" borderId="8" xfId="0" applyNumberFormat="1" applyFont="1" applyBorder="1" applyAlignment="1">
      <alignment horizontal="center"/>
    </xf>
    <xf numFmtId="167" fontId="20" fillId="0" borderId="0" xfId="0" applyNumberFormat="1" applyFont="1" applyAlignment="1">
      <alignment horizontal="center"/>
    </xf>
    <xf numFmtId="0" fontId="5" fillId="0" borderId="0" xfId="0" applyFont="1" applyAlignment="1">
      <alignment horizontal="left"/>
    </xf>
    <xf numFmtId="173" fontId="4" fillId="0" borderId="0" xfId="0" applyNumberFormat="1" applyFont="1" applyAlignment="1">
      <alignment horizontal="center"/>
    </xf>
    <xf numFmtId="168" fontId="21" fillId="0" borderId="8" xfId="0" applyNumberFormat="1" applyFont="1" applyBorder="1" applyAlignment="1">
      <alignment horizontal="center"/>
    </xf>
    <xf numFmtId="168" fontId="21" fillId="0" borderId="0" xfId="0" applyNumberFormat="1" applyFont="1" applyAlignment="1">
      <alignment horizontal="center"/>
    </xf>
    <xf numFmtId="0" fontId="5" fillId="0" borderId="0" xfId="0" applyFont="1" applyAlignment="1">
      <alignment horizontal="center"/>
    </xf>
    <xf numFmtId="49" fontId="22" fillId="0" borderId="0" xfId="0" applyNumberFormat="1" applyFont="1"/>
    <xf numFmtId="0" fontId="23" fillId="0" borderId="0" xfId="0" applyFont="1" applyAlignment="1">
      <alignment horizontal="center"/>
    </xf>
    <xf numFmtId="173" fontId="2" fillId="0" borderId="0" xfId="0" applyNumberFormat="1" applyFont="1"/>
    <xf numFmtId="165" fontId="23" fillId="0" borderId="0" xfId="0" applyNumberFormat="1" applyFont="1" applyAlignment="1">
      <alignment horizontal="center"/>
    </xf>
    <xf numFmtId="165" fontId="21" fillId="0" borderId="0" xfId="0" applyNumberFormat="1" applyFont="1" applyAlignment="1">
      <alignment horizontal="center"/>
    </xf>
    <xf numFmtId="165" fontId="23" fillId="0" borderId="8" xfId="0" applyNumberFormat="1" applyFont="1" applyBorder="1" applyAlignment="1">
      <alignment horizontal="center"/>
    </xf>
    <xf numFmtId="0" fontId="2" fillId="0" borderId="0" xfId="0" applyFont="1" applyAlignment="1">
      <alignment vertical="top"/>
    </xf>
    <xf numFmtId="0" fontId="24" fillId="0" borderId="0" xfId="0" applyFont="1"/>
    <xf numFmtId="0" fontId="25" fillId="0" borderId="0" xfId="0" applyFont="1"/>
    <xf numFmtId="173" fontId="21" fillId="0" borderId="0" xfId="0" applyNumberFormat="1" applyFont="1" applyAlignment="1">
      <alignment horizontal="center"/>
    </xf>
    <xf numFmtId="173" fontId="4" fillId="0" borderId="8" xfId="0" applyNumberFormat="1" applyFont="1" applyBorder="1" applyAlignment="1">
      <alignment horizontal="center"/>
    </xf>
    <xf numFmtId="173" fontId="21" fillId="0" borderId="8" xfId="0" applyNumberFormat="1" applyFont="1" applyBorder="1" applyAlignment="1">
      <alignment horizontal="center"/>
    </xf>
    <xf numFmtId="0" fontId="5" fillId="0" borderId="15" xfId="0" applyFont="1" applyBorder="1"/>
    <xf numFmtId="0" fontId="17" fillId="0" borderId="16" xfId="0" applyFont="1" applyBorder="1" applyAlignment="1">
      <alignment horizontal="center"/>
    </xf>
    <xf numFmtId="0" fontId="6" fillId="0" borderId="12" xfId="0" applyFont="1" applyBorder="1" applyAlignment="1">
      <alignment horizontal="center"/>
    </xf>
    <xf numFmtId="167" fontId="5" fillId="0" borderId="16" xfId="0" applyNumberFormat="1" applyFont="1" applyBorder="1" applyAlignment="1">
      <alignment horizontal="center"/>
    </xf>
    <xf numFmtId="167" fontId="5" fillId="0" borderId="15" xfId="0" applyNumberFormat="1" applyFont="1" applyBorder="1" applyAlignment="1">
      <alignment horizontal="center"/>
    </xf>
    <xf numFmtId="167" fontId="5" fillId="0" borderId="17" xfId="0" applyNumberFormat="1" applyFont="1" applyBorder="1" applyAlignment="1">
      <alignment horizontal="center"/>
    </xf>
    <xf numFmtId="49" fontId="4" fillId="0" borderId="8" xfId="0" applyNumberFormat="1" applyFont="1" applyBorder="1"/>
    <xf numFmtId="173" fontId="6" fillId="0" borderId="0" xfId="0" applyNumberFormat="1" applyFont="1" applyAlignment="1">
      <alignment horizontal="center"/>
    </xf>
    <xf numFmtId="173" fontId="27" fillId="0" borderId="8" xfId="0" applyNumberFormat="1" applyFont="1" applyBorder="1" applyAlignment="1">
      <alignment horizontal="center"/>
    </xf>
    <xf numFmtId="173" fontId="27" fillId="0" borderId="0" xfId="0" applyNumberFormat="1" applyFont="1" applyAlignment="1">
      <alignment horizontal="center"/>
    </xf>
    <xf numFmtId="173" fontId="27" fillId="0" borderId="18" xfId="0" applyNumberFormat="1" applyFont="1" applyBorder="1" applyAlignment="1">
      <alignment horizontal="center"/>
    </xf>
    <xf numFmtId="0" fontId="5" fillId="0" borderId="8" xfId="0" applyFont="1" applyBorder="1"/>
    <xf numFmtId="0" fontId="6" fillId="0" borderId="18" xfId="0" applyFont="1" applyBorder="1" applyAlignment="1">
      <alignment horizontal="center"/>
    </xf>
    <xf numFmtId="0" fontId="5" fillId="0" borderId="10" xfId="0" applyFont="1" applyBorder="1"/>
    <xf numFmtId="173" fontId="6" fillId="0" borderId="12" xfId="0" applyNumberFormat="1" applyFont="1" applyBorder="1" applyAlignment="1">
      <alignment horizontal="center"/>
    </xf>
    <xf numFmtId="0" fontId="6" fillId="0" borderId="11" xfId="0" applyFont="1" applyBorder="1" applyAlignment="1">
      <alignment horizontal="center"/>
    </xf>
    <xf numFmtId="0" fontId="6" fillId="0" borderId="13" xfId="0" applyFont="1" applyBorder="1" applyAlignment="1">
      <alignment horizontal="center"/>
    </xf>
    <xf numFmtId="167" fontId="5" fillId="0" borderId="8" xfId="0" applyNumberFormat="1" applyFont="1" applyBorder="1" applyAlignment="1">
      <alignment horizontal="center"/>
    </xf>
    <xf numFmtId="167" fontId="5" fillId="0" borderId="18" xfId="0" applyNumberFormat="1" applyFont="1" applyBorder="1" applyAlignment="1">
      <alignment horizontal="center"/>
    </xf>
    <xf numFmtId="10" fontId="27" fillId="0" borderId="8" xfId="0" applyNumberFormat="1" applyFont="1" applyBorder="1" applyAlignment="1">
      <alignment horizontal="center"/>
    </xf>
    <xf numFmtId="10" fontId="27" fillId="0" borderId="0" xfId="0" applyNumberFormat="1" applyFont="1" applyAlignment="1">
      <alignment horizontal="center"/>
    </xf>
    <xf numFmtId="0" fontId="6" fillId="0" borderId="9" xfId="0" applyFont="1" applyBorder="1" applyAlignment="1">
      <alignment horizontal="center"/>
    </xf>
    <xf numFmtId="167" fontId="5" fillId="0" borderId="14" xfId="0" applyNumberFormat="1" applyFont="1" applyBorder="1" applyAlignment="1">
      <alignment horizontal="center"/>
    </xf>
    <xf numFmtId="0" fontId="16" fillId="0" borderId="0" xfId="0" applyFont="1" applyAlignment="1">
      <alignment horizontal="center"/>
    </xf>
    <xf numFmtId="167" fontId="16" fillId="0" borderId="0" xfId="0" applyNumberFormat="1" applyFont="1" applyAlignment="1">
      <alignment horizontal="center"/>
    </xf>
    <xf numFmtId="167" fontId="19" fillId="0" borderId="9" xfId="0" applyNumberFormat="1" applyFont="1" applyBorder="1" applyAlignment="1">
      <alignment horizontal="center"/>
    </xf>
    <xf numFmtId="167" fontId="27" fillId="0" borderId="0" xfId="0" applyNumberFormat="1" applyFont="1" applyAlignment="1">
      <alignment horizontal="center"/>
    </xf>
    <xf numFmtId="167" fontId="6" fillId="0" borderId="8" xfId="0" applyNumberFormat="1" applyFont="1" applyBorder="1"/>
    <xf numFmtId="167" fontId="6" fillId="0" borderId="0" xfId="0" applyNumberFormat="1" applyFont="1"/>
    <xf numFmtId="165" fontId="4" fillId="0" borderId="0" xfId="0" applyNumberFormat="1" applyFont="1" applyAlignment="1">
      <alignment horizontal="center"/>
    </xf>
    <xf numFmtId="165" fontId="4" fillId="0" borderId="8" xfId="0" applyNumberFormat="1" applyFont="1" applyBorder="1" applyAlignment="1">
      <alignment horizontal="center"/>
    </xf>
    <xf numFmtId="0" fontId="4" fillId="0" borderId="0" xfId="0" applyFont="1" applyAlignment="1">
      <alignment horizontal="left" wrapText="1"/>
    </xf>
    <xf numFmtId="0" fontId="28" fillId="0" borderId="0" xfId="0" applyFont="1"/>
    <xf numFmtId="0" fontId="29" fillId="0" borderId="0" xfId="0" applyFont="1"/>
    <xf numFmtId="167" fontId="28" fillId="0" borderId="0" xfId="0" applyNumberFormat="1" applyFont="1" applyAlignment="1">
      <alignment horizontal="center"/>
    </xf>
    <xf numFmtId="0" fontId="2" fillId="0" borderId="8" xfId="0" applyFont="1" applyBorder="1"/>
    <xf numFmtId="0" fontId="30" fillId="0" borderId="0" xfId="0" applyFont="1"/>
    <xf numFmtId="167" fontId="30" fillId="0" borderId="0" xfId="0" applyNumberFormat="1" applyFont="1" applyAlignment="1">
      <alignment horizontal="center"/>
    </xf>
    <xf numFmtId="167" fontId="30" fillId="0" borderId="8" xfId="0" applyNumberFormat="1" applyFont="1" applyBorder="1" applyAlignment="1">
      <alignment horizontal="center"/>
    </xf>
    <xf numFmtId="167" fontId="31" fillId="0" borderId="9" xfId="0" applyNumberFormat="1" applyFont="1" applyBorder="1" applyAlignment="1">
      <alignment horizontal="center"/>
    </xf>
    <xf numFmtId="167" fontId="31" fillId="0" borderId="10" xfId="0" applyNumberFormat="1" applyFont="1" applyBorder="1" applyAlignment="1">
      <alignment horizontal="center"/>
    </xf>
    <xf numFmtId="3" fontId="27" fillId="0" borderId="0" xfId="0" applyNumberFormat="1" applyFont="1" applyAlignment="1">
      <alignment horizontal="center"/>
    </xf>
    <xf numFmtId="167" fontId="32" fillId="0" borderId="8" xfId="0" applyNumberFormat="1" applyFont="1" applyBorder="1" applyAlignment="1">
      <alignment horizontal="center"/>
    </xf>
    <xf numFmtId="167" fontId="32" fillId="0" borderId="0" xfId="0" applyNumberFormat="1" applyFont="1" applyAlignment="1">
      <alignment horizontal="center"/>
    </xf>
    <xf numFmtId="49" fontId="33" fillId="0" borderId="0" xfId="0" applyNumberFormat="1" applyFont="1"/>
    <xf numFmtId="167" fontId="6" fillId="0" borderId="8" xfId="0" applyNumberFormat="1" applyFont="1" applyBorder="1" applyAlignment="1">
      <alignment horizontal="center"/>
    </xf>
    <xf numFmtId="167" fontId="19" fillId="0" borderId="10" xfId="0" applyNumberFormat="1" applyFont="1" applyBorder="1" applyAlignment="1">
      <alignment horizontal="center"/>
    </xf>
    <xf numFmtId="167" fontId="19" fillId="0" borderId="8" xfId="0" applyNumberFormat="1" applyFont="1" applyBorder="1" applyAlignment="1">
      <alignment horizontal="center"/>
    </xf>
    <xf numFmtId="174" fontId="21" fillId="0" borderId="0" xfId="0" applyNumberFormat="1" applyFont="1" applyAlignment="1">
      <alignment horizontal="center"/>
    </xf>
    <xf numFmtId="174" fontId="4" fillId="0" borderId="0" xfId="0" applyNumberFormat="1" applyFont="1" applyAlignment="1">
      <alignment horizontal="center"/>
    </xf>
    <xf numFmtId="174" fontId="21" fillId="0" borderId="8" xfId="0" applyNumberFormat="1" applyFont="1" applyBorder="1" applyAlignment="1">
      <alignment horizontal="center"/>
    </xf>
    <xf numFmtId="0" fontId="6" fillId="0" borderId="0" xfId="0" applyFont="1" applyAlignment="1">
      <alignment horizontal="left" vertical="center"/>
    </xf>
    <xf numFmtId="165" fontId="21" fillId="0" borderId="8" xfId="0" applyNumberFormat="1" applyFont="1" applyBorder="1" applyAlignment="1">
      <alignment horizontal="center"/>
    </xf>
    <xf numFmtId="167" fontId="4" fillId="0" borderId="0" xfId="0" applyNumberFormat="1" applyFont="1" applyAlignment="1">
      <alignment horizontal="center"/>
    </xf>
    <xf numFmtId="167" fontId="21" fillId="0" borderId="8" xfId="0" applyNumberFormat="1" applyFont="1" applyBorder="1" applyAlignment="1">
      <alignment horizontal="center"/>
    </xf>
    <xf numFmtId="167" fontId="21" fillId="0" borderId="0" xfId="0" applyNumberFormat="1" applyFont="1" applyAlignment="1">
      <alignment horizontal="center"/>
    </xf>
    <xf numFmtId="0" fontId="4" fillId="0" borderId="0" xfId="0" applyFont="1" applyAlignment="1">
      <alignment horizontal="left"/>
    </xf>
    <xf numFmtId="0" fontId="3" fillId="2" borderId="6" xfId="0" applyFont="1" applyFill="1" applyBorder="1" applyAlignment="1">
      <alignment vertical="center"/>
    </xf>
    <xf numFmtId="173" fontId="34" fillId="0" borderId="0" xfId="0" applyNumberFormat="1" applyFont="1" applyAlignment="1">
      <alignment horizontal="left"/>
    </xf>
    <xf numFmtId="167" fontId="17" fillId="0" borderId="9" xfId="0" applyNumberFormat="1" applyFont="1" applyBorder="1" applyAlignment="1">
      <alignment horizontal="center"/>
    </xf>
    <xf numFmtId="0" fontId="5" fillId="4" borderId="15" xfId="0" applyFont="1" applyFill="1" applyBorder="1"/>
    <xf numFmtId="0" fontId="2" fillId="4" borderId="16" xfId="0" applyFont="1" applyFill="1" applyBorder="1"/>
    <xf numFmtId="167" fontId="2" fillId="4" borderId="16" xfId="0" applyNumberFormat="1" applyFont="1" applyFill="1" applyBorder="1"/>
    <xf numFmtId="167" fontId="2" fillId="4" borderId="15" xfId="0" applyNumberFormat="1" applyFont="1" applyFill="1" applyBorder="1"/>
    <xf numFmtId="167" fontId="2" fillId="4" borderId="17" xfId="0" applyNumberFormat="1" applyFont="1" applyFill="1" applyBorder="1"/>
    <xf numFmtId="0" fontId="5" fillId="0" borderId="11" xfId="0" applyFont="1" applyBorder="1"/>
    <xf numFmtId="0" fontId="2" fillId="0" borderId="12" xfId="0" applyFont="1" applyBorder="1"/>
    <xf numFmtId="167" fontId="2" fillId="0" borderId="12" xfId="0" applyNumberFormat="1" applyFont="1" applyBorder="1"/>
    <xf numFmtId="167" fontId="2" fillId="0" borderId="11" xfId="0" applyNumberFormat="1" applyFont="1" applyBorder="1"/>
    <xf numFmtId="167" fontId="2" fillId="0" borderId="13" xfId="0" applyNumberFormat="1" applyFont="1" applyBorder="1"/>
    <xf numFmtId="49" fontId="6" fillId="0" borderId="8" xfId="0" applyNumberFormat="1" applyFont="1" applyBorder="1"/>
    <xf numFmtId="167" fontId="6" fillId="0" borderId="18" xfId="0" applyNumberFormat="1" applyFont="1" applyBorder="1" applyAlignment="1">
      <alignment horizontal="center"/>
    </xf>
    <xf numFmtId="167" fontId="2" fillId="0" borderId="0" xfId="0" applyNumberFormat="1" applyFont="1"/>
    <xf numFmtId="167" fontId="2" fillId="0" borderId="8" xfId="0" applyNumberFormat="1" applyFont="1" applyBorder="1"/>
    <xf numFmtId="167" fontId="2" fillId="0" borderId="18" xfId="0" applyNumberFormat="1" applyFont="1" applyBorder="1"/>
    <xf numFmtId="168" fontId="6" fillId="0" borderId="8" xfId="0" applyNumberFormat="1" applyFont="1" applyBorder="1" applyAlignment="1">
      <alignment horizontal="center"/>
    </xf>
    <xf numFmtId="168" fontId="6" fillId="0" borderId="18" xfId="0" applyNumberFormat="1" applyFont="1" applyBorder="1" applyAlignment="1">
      <alignment horizontal="center"/>
    </xf>
    <xf numFmtId="49" fontId="6" fillId="0" borderId="10" xfId="0" applyNumberFormat="1" applyFont="1" applyBorder="1"/>
    <xf numFmtId="0" fontId="2" fillId="0" borderId="9" xfId="0" applyFont="1" applyBorder="1"/>
    <xf numFmtId="167" fontId="2" fillId="0" borderId="9" xfId="0" applyNumberFormat="1" applyFont="1" applyBorder="1"/>
    <xf numFmtId="167" fontId="6" fillId="0" borderId="10" xfId="0" applyNumberFormat="1" applyFont="1" applyBorder="1" applyAlignment="1">
      <alignment horizontal="center"/>
    </xf>
    <xf numFmtId="167" fontId="6" fillId="0" borderId="9" xfId="0" applyNumberFormat="1" applyFont="1" applyBorder="1" applyAlignment="1">
      <alignment horizontal="center"/>
    </xf>
    <xf numFmtId="167" fontId="6" fillId="0" borderId="14" xfId="0" applyNumberFormat="1" applyFont="1" applyBorder="1" applyAlignment="1">
      <alignment horizontal="center"/>
    </xf>
    <xf numFmtId="0" fontId="5" fillId="0" borderId="0" xfId="0" applyFont="1" applyAlignment="1">
      <alignment wrapText="1"/>
    </xf>
    <xf numFmtId="0" fontId="15" fillId="5" borderId="1" xfId="0" applyFont="1" applyFill="1" applyBorder="1"/>
    <xf numFmtId="0" fontId="5" fillId="0" borderId="21" xfId="0" applyFont="1" applyBorder="1" applyAlignment="1">
      <alignment wrapText="1"/>
    </xf>
    <xf numFmtId="0" fontId="35" fillId="0" borderId="21" xfId="0" applyFont="1" applyBorder="1" applyAlignment="1">
      <alignment horizontal="left"/>
    </xf>
    <xf numFmtId="0" fontId="5" fillId="0" borderId="21" xfId="0" applyFont="1" applyBorder="1"/>
    <xf numFmtId="0" fontId="6" fillId="0" borderId="11" xfId="0" applyFont="1" applyBorder="1" applyAlignment="1">
      <alignment wrapText="1"/>
    </xf>
    <xf numFmtId="6" fontId="6" fillId="0" borderId="21" xfId="0" applyNumberFormat="1" applyFont="1" applyBorder="1" applyAlignment="1">
      <alignment horizontal="right" wrapText="1"/>
    </xf>
    <xf numFmtId="1" fontId="6" fillId="0" borderId="13" xfId="0" applyNumberFormat="1" applyFont="1" applyBorder="1" applyAlignment="1">
      <alignment horizontal="right" wrapText="1"/>
    </xf>
    <xf numFmtId="0" fontId="6" fillId="0" borderId="8" xfId="0" applyFont="1" applyBorder="1" applyAlignment="1">
      <alignment wrapText="1"/>
    </xf>
    <xf numFmtId="6" fontId="6" fillId="0" borderId="22" xfId="0" applyNumberFormat="1" applyFont="1" applyBorder="1" applyAlignment="1">
      <alignment horizontal="right" wrapText="1"/>
    </xf>
    <xf numFmtId="1" fontId="6" fillId="0" borderId="18" xfId="0" applyNumberFormat="1" applyFont="1" applyBorder="1" applyAlignment="1">
      <alignment horizontal="right" wrapText="1"/>
    </xf>
    <xf numFmtId="175" fontId="6" fillId="0" borderId="8" xfId="0" applyNumberFormat="1" applyFont="1" applyBorder="1" applyAlignment="1">
      <alignment horizontal="center"/>
    </xf>
    <xf numFmtId="175" fontId="6" fillId="0" borderId="8" xfId="0" applyNumberFormat="1" applyFont="1" applyBorder="1"/>
    <xf numFmtId="175" fontId="5" fillId="0" borderId="8" xfId="0" applyNumberFormat="1" applyFont="1" applyBorder="1"/>
    <xf numFmtId="0" fontId="5" fillId="0" borderId="10" xfId="0" applyFont="1" applyBorder="1" applyAlignment="1">
      <alignment wrapText="1"/>
    </xf>
    <xf numFmtId="6" fontId="5" fillId="0" borderId="23" xfId="0" applyNumberFormat="1" applyFont="1" applyBorder="1" applyAlignment="1">
      <alignment horizontal="right" wrapText="1"/>
    </xf>
    <xf numFmtId="1" fontId="5" fillId="0" borderId="14" xfId="0" applyNumberFormat="1" applyFont="1" applyBorder="1" applyAlignment="1">
      <alignment horizontal="right" wrapText="1"/>
    </xf>
    <xf numFmtId="0" fontId="15" fillId="5" borderId="2" xfId="0" applyFont="1" applyFill="1" applyBorder="1"/>
    <xf numFmtId="0" fontId="5" fillId="0" borderId="24" xfId="0" applyFont="1" applyBorder="1"/>
    <xf numFmtId="0" fontId="36" fillId="0" borderId="8" xfId="0" applyFont="1" applyBorder="1"/>
    <xf numFmtId="175" fontId="36" fillId="0" borderId="8" xfId="0" applyNumberFormat="1" applyFont="1" applyBorder="1"/>
    <xf numFmtId="176" fontId="36" fillId="0" borderId="8" xfId="0" applyNumberFormat="1" applyFont="1" applyBorder="1"/>
    <xf numFmtId="167" fontId="36" fillId="0" borderId="22" xfId="0" applyNumberFormat="1" applyFont="1" applyBorder="1" applyAlignment="1">
      <alignment horizontal="right"/>
    </xf>
    <xf numFmtId="0" fontId="6" fillId="0" borderId="22" xfId="0" applyFont="1" applyBorder="1" applyAlignment="1">
      <alignment wrapText="1"/>
    </xf>
    <xf numFmtId="6" fontId="6" fillId="0" borderId="8" xfId="0" applyNumberFormat="1" applyFont="1" applyBorder="1" applyAlignment="1">
      <alignment horizontal="right" wrapText="1"/>
    </xf>
    <xf numFmtId="1" fontId="6" fillId="0" borderId="22" xfId="0" applyNumberFormat="1" applyFont="1" applyBorder="1" applyAlignment="1">
      <alignment horizontal="right" wrapText="1"/>
    </xf>
    <xf numFmtId="0" fontId="6" fillId="0" borderId="8" xfId="0" applyFont="1" applyBorder="1" applyAlignment="1">
      <alignment horizontal="right"/>
    </xf>
    <xf numFmtId="175" fontId="5" fillId="0" borderId="10" xfId="0" applyNumberFormat="1" applyFont="1" applyBorder="1" applyAlignment="1">
      <alignment horizontal="right"/>
    </xf>
    <xf numFmtId="167" fontId="5" fillId="0" borderId="23" xfId="0" applyNumberFormat="1" applyFont="1" applyBorder="1" applyAlignment="1">
      <alignment horizontal="right"/>
    </xf>
    <xf numFmtId="3" fontId="37" fillId="0" borderId="0" xfId="0" applyNumberFormat="1" applyFont="1" applyAlignment="1">
      <alignment horizontal="right"/>
    </xf>
    <xf numFmtId="3" fontId="6" fillId="0" borderId="0" xfId="0" applyNumberFormat="1" applyFont="1" applyAlignment="1">
      <alignment horizontal="center"/>
    </xf>
    <xf numFmtId="3" fontId="27" fillId="0" borderId="8" xfId="0" applyNumberFormat="1" applyFont="1" applyBorder="1" applyAlignment="1">
      <alignment horizontal="center"/>
    </xf>
    <xf numFmtId="167" fontId="27" fillId="0" borderId="8" xfId="0" applyNumberFormat="1" applyFont="1" applyBorder="1" applyAlignment="1">
      <alignment horizontal="center"/>
    </xf>
    <xf numFmtId="0" fontId="38" fillId="0" borderId="0" xfId="0" applyFont="1"/>
    <xf numFmtId="49" fontId="39" fillId="0" borderId="0" xfId="0" applyNumberFormat="1" applyFont="1"/>
    <xf numFmtId="0" fontId="10" fillId="0" borderId="0" xfId="0" applyFont="1" applyAlignment="1">
      <alignment horizontal="center"/>
    </xf>
    <xf numFmtId="165" fontId="10" fillId="0" borderId="0" xfId="0" applyNumberFormat="1" applyFont="1" applyAlignment="1">
      <alignment horizontal="center"/>
    </xf>
    <xf numFmtId="165" fontId="40" fillId="0" borderId="8" xfId="0" applyNumberFormat="1" applyFont="1" applyBorder="1" applyAlignment="1">
      <alignment horizontal="center"/>
    </xf>
    <xf numFmtId="165" fontId="40" fillId="0" borderId="0" xfId="0" applyNumberFormat="1" applyFont="1" applyAlignment="1">
      <alignment horizontal="center"/>
    </xf>
    <xf numFmtId="174" fontId="10" fillId="0" borderId="0" xfId="0" applyNumberFormat="1" applyFont="1" applyAlignment="1">
      <alignment horizontal="center"/>
    </xf>
    <xf numFmtId="165" fontId="10" fillId="0" borderId="8" xfId="0" applyNumberFormat="1" applyFont="1" applyBorder="1" applyAlignment="1">
      <alignment horizontal="center"/>
    </xf>
    <xf numFmtId="3" fontId="5" fillId="0" borderId="0" xfId="0" applyNumberFormat="1" applyFont="1" applyAlignment="1">
      <alignment horizontal="center"/>
    </xf>
    <xf numFmtId="3" fontId="5" fillId="0" borderId="8" xfId="0" applyNumberFormat="1" applyFont="1" applyBorder="1" applyAlignment="1">
      <alignment horizontal="center"/>
    </xf>
    <xf numFmtId="0" fontId="42" fillId="0" borderId="0" xfId="0" applyFont="1"/>
    <xf numFmtId="0" fontId="39" fillId="0" borderId="0" xfId="0" applyFont="1" applyAlignment="1">
      <alignment horizontal="center"/>
    </xf>
    <xf numFmtId="167" fontId="42" fillId="0" borderId="0" xfId="0" applyNumberFormat="1" applyFont="1" applyAlignment="1">
      <alignment horizontal="center"/>
    </xf>
    <xf numFmtId="167" fontId="19" fillId="5" borderId="25" xfId="0" applyNumberFormat="1" applyFont="1" applyFill="1" applyBorder="1" applyAlignment="1">
      <alignment horizontal="center"/>
    </xf>
    <xf numFmtId="0" fontId="6" fillId="0" borderId="0" xfId="0" applyFont="1" applyAlignment="1">
      <alignment vertical="top" wrapText="1"/>
    </xf>
    <xf numFmtId="168" fontId="10" fillId="0" borderId="0" xfId="0" applyNumberFormat="1" applyFont="1" applyAlignment="1">
      <alignment horizontal="center"/>
    </xf>
    <xf numFmtId="168" fontId="10" fillId="0" borderId="8" xfId="0" applyNumberFormat="1" applyFont="1" applyBorder="1" applyAlignment="1">
      <alignment horizontal="center"/>
    </xf>
    <xf numFmtId="0" fontId="42" fillId="0" borderId="0" xfId="0" applyFont="1" applyAlignment="1">
      <alignment horizontal="center"/>
    </xf>
    <xf numFmtId="3" fontId="42" fillId="0" borderId="0" xfId="0" applyNumberFormat="1" applyFont="1" applyAlignment="1">
      <alignment horizontal="center"/>
    </xf>
    <xf numFmtId="168" fontId="4" fillId="0" borderId="12" xfId="0" applyNumberFormat="1" applyFont="1" applyBorder="1" applyAlignment="1">
      <alignment horizontal="center"/>
    </xf>
    <xf numFmtId="0" fontId="6" fillId="0" borderId="0" xfId="0" applyFont="1" applyAlignment="1">
      <alignment vertical="center" wrapText="1"/>
    </xf>
    <xf numFmtId="0" fontId="27" fillId="0" borderId="8" xfId="0" applyFont="1" applyBorder="1" applyAlignment="1">
      <alignment horizontal="center"/>
    </xf>
    <xf numFmtId="0" fontId="27" fillId="0" borderId="0" xfId="0" applyFont="1" applyAlignment="1">
      <alignment horizontal="center"/>
    </xf>
    <xf numFmtId="49" fontId="39" fillId="0" borderId="9" xfId="0" applyNumberFormat="1" applyFont="1" applyBorder="1"/>
    <xf numFmtId="0" fontId="4" fillId="0" borderId="9" xfId="0" applyFont="1" applyBorder="1" applyAlignment="1">
      <alignment horizontal="center"/>
    </xf>
    <xf numFmtId="0" fontId="27" fillId="0" borderId="10" xfId="0" applyFont="1" applyBorder="1" applyAlignment="1">
      <alignment horizontal="center"/>
    </xf>
    <xf numFmtId="0" fontId="27" fillId="0" borderId="9" xfId="0" applyFont="1" applyBorder="1" applyAlignment="1">
      <alignment horizontal="center"/>
    </xf>
    <xf numFmtId="167" fontId="4" fillId="0" borderId="8" xfId="0" applyNumberFormat="1" applyFont="1" applyBorder="1" applyAlignment="1">
      <alignment horizontal="center"/>
    </xf>
    <xf numFmtId="0" fontId="39" fillId="0" borderId="0" xfId="0" applyFont="1" applyAlignment="1">
      <alignment horizontal="left" vertical="center"/>
    </xf>
    <xf numFmtId="49" fontId="4" fillId="5" borderId="1" xfId="0" applyNumberFormat="1" applyFont="1" applyFill="1" applyBorder="1"/>
    <xf numFmtId="0" fontId="4" fillId="5" borderId="1" xfId="0" applyFont="1" applyFill="1" applyBorder="1" applyAlignment="1">
      <alignment horizontal="center"/>
    </xf>
    <xf numFmtId="167" fontId="6" fillId="5" borderId="1" xfId="0" applyNumberFormat="1" applyFont="1" applyFill="1" applyBorder="1" applyAlignment="1">
      <alignment horizontal="center"/>
    </xf>
    <xf numFmtId="167" fontId="27" fillId="5" borderId="25" xfId="0" applyNumberFormat="1" applyFont="1" applyFill="1" applyBorder="1" applyAlignment="1">
      <alignment horizontal="center"/>
    </xf>
    <xf numFmtId="167" fontId="27" fillId="5" borderId="1" xfId="0" applyNumberFormat="1" applyFont="1" applyFill="1" applyBorder="1" applyAlignment="1">
      <alignment horizontal="center"/>
    </xf>
    <xf numFmtId="167" fontId="27" fillId="5" borderId="26" xfId="0" applyNumberFormat="1" applyFont="1" applyFill="1" applyBorder="1" applyAlignment="1">
      <alignment horizontal="center"/>
    </xf>
    <xf numFmtId="0" fontId="5" fillId="6" borderId="1" xfId="0" applyFont="1" applyFill="1" applyBorder="1"/>
    <xf numFmtId="0" fontId="17" fillId="6" borderId="1" xfId="0" applyFont="1" applyFill="1" applyBorder="1" applyAlignment="1">
      <alignment horizontal="center"/>
    </xf>
    <xf numFmtId="167" fontId="5" fillId="6" borderId="1" xfId="0" applyNumberFormat="1" applyFont="1" applyFill="1" applyBorder="1" applyAlignment="1">
      <alignment horizontal="center"/>
    </xf>
    <xf numFmtId="167" fontId="5" fillId="6" borderId="25" xfId="0" applyNumberFormat="1" applyFont="1" applyFill="1" applyBorder="1" applyAlignment="1">
      <alignment horizontal="center"/>
    </xf>
    <xf numFmtId="0" fontId="43" fillId="6" borderId="1" xfId="0" applyFont="1" applyFill="1" applyBorder="1"/>
    <xf numFmtId="0" fontId="4" fillId="6" borderId="1" xfId="0" applyFont="1" applyFill="1" applyBorder="1" applyAlignment="1">
      <alignment horizontal="center"/>
    </xf>
    <xf numFmtId="167" fontId="6" fillId="6" borderId="1" xfId="0" applyNumberFormat="1" applyFont="1" applyFill="1" applyBorder="1" applyAlignment="1">
      <alignment horizontal="center"/>
    </xf>
    <xf numFmtId="167" fontId="27" fillId="6" borderId="25" xfId="0" applyNumberFormat="1" applyFont="1" applyFill="1" applyBorder="1" applyAlignment="1">
      <alignment horizontal="center"/>
    </xf>
    <xf numFmtId="167" fontId="27" fillId="6" borderId="1" xfId="0" applyNumberFormat="1" applyFont="1" applyFill="1" applyBorder="1" applyAlignment="1">
      <alignment horizontal="center"/>
    </xf>
    <xf numFmtId="0" fontId="6" fillId="0" borderId="9" xfId="0" applyFont="1" applyBorder="1"/>
    <xf numFmtId="169" fontId="5" fillId="0" borderId="0" xfId="0" applyNumberFormat="1" applyFont="1" applyAlignment="1">
      <alignment horizontal="center"/>
    </xf>
    <xf numFmtId="169" fontId="19" fillId="0" borderId="8" xfId="0" applyNumberFormat="1" applyFont="1" applyBorder="1" applyAlignment="1">
      <alignment horizontal="center"/>
    </xf>
    <xf numFmtId="169" fontId="19" fillId="0" borderId="0" xfId="0" applyNumberFormat="1" applyFont="1" applyAlignment="1">
      <alignment horizontal="center"/>
    </xf>
    <xf numFmtId="174" fontId="4" fillId="0" borderId="8" xfId="0" applyNumberFormat="1" applyFont="1" applyBorder="1" applyAlignment="1">
      <alignment horizontal="center"/>
    </xf>
    <xf numFmtId="0" fontId="6" fillId="0" borderId="0" xfId="0" applyFont="1" applyAlignment="1">
      <alignment horizontal="left"/>
    </xf>
    <xf numFmtId="9" fontId="6" fillId="0" borderId="0" xfId="0" applyNumberFormat="1" applyFont="1" applyAlignment="1">
      <alignment horizontal="center"/>
    </xf>
    <xf numFmtId="167" fontId="7" fillId="0" borderId="0" xfId="0" applyNumberFormat="1" applyFont="1" applyAlignment="1">
      <alignment horizontal="center"/>
    </xf>
    <xf numFmtId="49" fontId="6" fillId="0" borderId="9" xfId="0" applyNumberFormat="1" applyFont="1" applyBorder="1"/>
    <xf numFmtId="167" fontId="27" fillId="0" borderId="10" xfId="0" applyNumberFormat="1" applyFont="1" applyBorder="1" applyAlignment="1">
      <alignment horizontal="center"/>
    </xf>
    <xf numFmtId="167" fontId="27" fillId="0" borderId="9" xfId="0" applyNumberFormat="1" applyFont="1" applyBorder="1" applyAlignment="1">
      <alignment horizontal="center"/>
    </xf>
    <xf numFmtId="49" fontId="44" fillId="0" borderId="0" xfId="0" applyNumberFormat="1" applyFont="1"/>
    <xf numFmtId="0" fontId="44" fillId="0" borderId="0" xfId="0" applyFont="1" applyAlignment="1">
      <alignment horizontal="center"/>
    </xf>
    <xf numFmtId="167" fontId="45" fillId="0" borderId="0" xfId="0" applyNumberFormat="1" applyFont="1" applyAlignment="1">
      <alignment horizontal="center"/>
    </xf>
    <xf numFmtId="167" fontId="45" fillId="0" borderId="8" xfId="0" applyNumberFormat="1" applyFont="1" applyBorder="1" applyAlignment="1">
      <alignment horizontal="center"/>
    </xf>
    <xf numFmtId="0" fontId="35" fillId="0" borderId="0" xfId="0" applyFont="1"/>
    <xf numFmtId="3" fontId="4" fillId="0" borderId="0" xfId="0" applyNumberFormat="1" applyFont="1" applyAlignment="1">
      <alignment horizontal="center"/>
    </xf>
    <xf numFmtId="0" fontId="6" fillId="0" borderId="11" xfId="0" applyFont="1" applyBorder="1"/>
    <xf numFmtId="0" fontId="4" fillId="0" borderId="12" xfId="0" applyFont="1" applyBorder="1" applyAlignment="1">
      <alignment horizontal="center"/>
    </xf>
    <xf numFmtId="167" fontId="6" fillId="0" borderId="12" xfId="0" applyNumberFormat="1" applyFont="1" applyBorder="1" applyAlignment="1">
      <alignment horizontal="center"/>
    </xf>
    <xf numFmtId="167" fontId="6" fillId="0" borderId="13" xfId="0" applyNumberFormat="1" applyFont="1" applyBorder="1" applyAlignment="1">
      <alignment horizontal="center"/>
    </xf>
    <xf numFmtId="177" fontId="4" fillId="0" borderId="0" xfId="0" applyNumberFormat="1" applyFont="1" applyAlignment="1">
      <alignment horizontal="center"/>
    </xf>
    <xf numFmtId="177" fontId="4" fillId="0" borderId="18" xfId="0" applyNumberFormat="1" applyFont="1" applyBorder="1" applyAlignment="1">
      <alignment horizontal="center"/>
    </xf>
    <xf numFmtId="0" fontId="4" fillId="0" borderId="0" xfId="0" applyFont="1" applyAlignment="1">
      <alignment vertical="center" wrapText="1"/>
    </xf>
    <xf numFmtId="0" fontId="46" fillId="0" borderId="0" xfId="0" applyFont="1"/>
    <xf numFmtId="0" fontId="6" fillId="0" borderId="10" xfId="0" applyFont="1" applyBorder="1"/>
    <xf numFmtId="0" fontId="9" fillId="2" borderId="1" xfId="0" applyFont="1" applyFill="1" applyBorder="1" applyAlignment="1">
      <alignment horizontal="center" vertical="center"/>
    </xf>
    <xf numFmtId="0" fontId="9" fillId="2" borderId="27"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30" fillId="0" borderId="0" xfId="0" applyFont="1" applyAlignment="1">
      <alignment horizontal="right"/>
    </xf>
    <xf numFmtId="3" fontId="32" fillId="0" borderId="0" xfId="0" applyNumberFormat="1" applyFont="1" applyAlignment="1">
      <alignment horizontal="right"/>
    </xf>
    <xf numFmtId="3" fontId="30" fillId="0" borderId="0" xfId="0" applyNumberFormat="1" applyFont="1" applyAlignment="1">
      <alignment horizontal="right"/>
    </xf>
    <xf numFmtId="0" fontId="32" fillId="0" borderId="0" xfId="0" applyFont="1" applyAlignment="1">
      <alignment horizontal="right"/>
    </xf>
    <xf numFmtId="0" fontId="6" fillId="0" borderId="0" xfId="0" applyFont="1" applyAlignment="1">
      <alignment horizontal="left" wrapText="1"/>
    </xf>
    <xf numFmtId="49" fontId="7" fillId="0" borderId="9" xfId="0" applyNumberFormat="1" applyFont="1" applyBorder="1"/>
    <xf numFmtId="167" fontId="7" fillId="0" borderId="10" xfId="0" applyNumberFormat="1" applyFont="1" applyBorder="1" applyAlignment="1">
      <alignment horizontal="center"/>
    </xf>
    <xf numFmtId="167" fontId="7" fillId="0" borderId="9" xfId="0" applyNumberFormat="1" applyFont="1" applyBorder="1" applyAlignment="1">
      <alignment horizontal="center"/>
    </xf>
    <xf numFmtId="49" fontId="47" fillId="0" borderId="0" xfId="0" applyNumberFormat="1" applyFont="1"/>
    <xf numFmtId="0" fontId="47" fillId="0" borderId="0" xfId="0" applyFont="1" applyAlignment="1">
      <alignment horizontal="center"/>
    </xf>
    <xf numFmtId="167" fontId="47" fillId="0" borderId="0" xfId="0" applyNumberFormat="1" applyFont="1" applyAlignment="1">
      <alignment horizontal="center"/>
    </xf>
    <xf numFmtId="49" fontId="5" fillId="0" borderId="0" xfId="0" applyNumberFormat="1" applyFont="1"/>
    <xf numFmtId="0" fontId="5" fillId="8" borderId="1" xfId="0" applyFont="1" applyFill="1" applyBorder="1"/>
    <xf numFmtId="10" fontId="6" fillId="0" borderId="12" xfId="0" applyNumberFormat="1" applyFont="1" applyBorder="1" applyAlignment="1">
      <alignment horizontal="center"/>
    </xf>
    <xf numFmtId="0" fontId="6" fillId="0" borderId="12" xfId="0" applyFont="1" applyBorder="1"/>
    <xf numFmtId="0" fontId="6" fillId="0" borderId="13" xfId="0" applyFont="1" applyBorder="1"/>
    <xf numFmtId="10" fontId="4" fillId="0" borderId="0" xfId="0" applyNumberFormat="1" applyFont="1" applyAlignment="1">
      <alignment horizontal="center"/>
    </xf>
    <xf numFmtId="10" fontId="21" fillId="0" borderId="8" xfId="0" applyNumberFormat="1" applyFont="1" applyBorder="1" applyAlignment="1">
      <alignment horizontal="center"/>
    </xf>
    <xf numFmtId="10" fontId="21" fillId="0" borderId="0" xfId="0" applyNumberFormat="1" applyFont="1" applyAlignment="1">
      <alignment horizontal="center"/>
    </xf>
    <xf numFmtId="0" fontId="6" fillId="0" borderId="15" xfId="0" applyFont="1" applyBorder="1"/>
    <xf numFmtId="10" fontId="6" fillId="0" borderId="16" xfId="0" applyNumberFormat="1" applyFont="1" applyBorder="1" applyAlignment="1">
      <alignment horizontal="center"/>
    </xf>
    <xf numFmtId="0" fontId="6" fillId="0" borderId="16" xfId="0" applyFont="1" applyBorder="1"/>
    <xf numFmtId="0" fontId="6" fillId="0" borderId="17" xfId="0" applyFont="1" applyBorder="1"/>
    <xf numFmtId="10" fontId="6" fillId="0" borderId="9" xfId="0" applyNumberFormat="1" applyFont="1" applyBorder="1" applyAlignment="1">
      <alignment horizontal="center"/>
    </xf>
    <xf numFmtId="0" fontId="6" fillId="0" borderId="14" xfId="0" applyFont="1" applyBorder="1"/>
    <xf numFmtId="0" fontId="5" fillId="0" borderId="31" xfId="0" applyFont="1" applyBorder="1" applyAlignment="1">
      <alignment horizontal="left" vertical="center" wrapText="1"/>
    </xf>
    <xf numFmtId="0" fontId="5" fillId="0" borderId="29" xfId="0" applyFont="1" applyBorder="1" applyAlignment="1">
      <alignment horizontal="left"/>
    </xf>
    <xf numFmtId="0" fontId="5" fillId="0" borderId="30" xfId="0" applyFont="1" applyBorder="1" applyAlignment="1">
      <alignment horizontal="left"/>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2" fillId="2" borderId="33" xfId="0" applyFont="1" applyFill="1" applyBorder="1"/>
    <xf numFmtId="49" fontId="2" fillId="2" borderId="34" xfId="0" applyNumberFormat="1" applyFont="1" applyFill="1" applyBorder="1"/>
    <xf numFmtId="0" fontId="2" fillId="2" borderId="34" xfId="0" applyFont="1" applyFill="1" applyBorder="1"/>
    <xf numFmtId="0" fontId="3" fillId="2" borderId="25" xfId="0" applyFont="1" applyFill="1" applyBorder="1"/>
    <xf numFmtId="49" fontId="2" fillId="2" borderId="1" xfId="0" applyNumberFormat="1" applyFont="1" applyFill="1" applyBorder="1"/>
    <xf numFmtId="172" fontId="48" fillId="2" borderId="1" xfId="0" applyNumberFormat="1" applyFont="1" applyFill="1" applyBorder="1" applyAlignment="1">
      <alignment horizontal="center"/>
    </xf>
    <xf numFmtId="167" fontId="8" fillId="2" borderId="1" xfId="0" applyNumberFormat="1" applyFont="1" applyFill="1" applyBorder="1" applyAlignment="1">
      <alignment horizontal="center"/>
    </xf>
    <xf numFmtId="1" fontId="9" fillId="2" borderId="1" xfId="0" applyNumberFormat="1" applyFont="1" applyFill="1" applyBorder="1" applyAlignment="1">
      <alignment horizontal="center"/>
    </xf>
    <xf numFmtId="1" fontId="9" fillId="2" borderId="27" xfId="0" applyNumberFormat="1" applyFont="1" applyFill="1" applyBorder="1" applyAlignment="1">
      <alignment horizontal="center"/>
    </xf>
    <xf numFmtId="1" fontId="9" fillId="2" borderId="39" xfId="0" applyNumberFormat="1" applyFont="1" applyFill="1" applyBorder="1" applyAlignment="1">
      <alignment horizontal="center"/>
    </xf>
    <xf numFmtId="0" fontId="5" fillId="4" borderId="24" xfId="0" applyFont="1" applyFill="1" applyBorder="1" applyAlignment="1">
      <alignment horizontal="center"/>
    </xf>
    <xf numFmtId="0" fontId="5" fillId="0" borderId="12" xfId="0" applyFont="1" applyBorder="1"/>
    <xf numFmtId="0" fontId="5" fillId="0" borderId="12" xfId="0" applyFont="1" applyBorder="1" applyAlignment="1">
      <alignment horizontal="center"/>
    </xf>
    <xf numFmtId="167" fontId="5" fillId="0" borderId="12" xfId="0" applyNumberFormat="1" applyFont="1" applyBorder="1" applyAlignment="1">
      <alignment horizontal="center"/>
    </xf>
    <xf numFmtId="167" fontId="5" fillId="0" borderId="11" xfId="0" applyNumberFormat="1" applyFont="1" applyBorder="1" applyAlignment="1">
      <alignment horizontal="center"/>
    </xf>
    <xf numFmtId="167" fontId="5" fillId="0" borderId="13" xfId="0" applyNumberFormat="1" applyFont="1" applyBorder="1" applyAlignment="1">
      <alignment horizontal="center"/>
    </xf>
    <xf numFmtId="167" fontId="27" fillId="0" borderId="18" xfId="0" applyNumberFormat="1" applyFont="1" applyBorder="1" applyAlignment="1">
      <alignment horizontal="center"/>
    </xf>
    <xf numFmtId="49" fontId="43" fillId="0" borderId="12" xfId="0" applyNumberFormat="1" applyFont="1" applyBorder="1"/>
    <xf numFmtId="0" fontId="43" fillId="0" borderId="12" xfId="0" applyFont="1" applyBorder="1" applyAlignment="1">
      <alignment horizontal="center"/>
    </xf>
    <xf numFmtId="167" fontId="43" fillId="0" borderId="12" xfId="0" applyNumberFormat="1" applyFont="1" applyBorder="1" applyAlignment="1">
      <alignment horizontal="center"/>
    </xf>
    <xf numFmtId="167" fontId="43" fillId="0" borderId="13" xfId="0" applyNumberFormat="1" applyFont="1" applyBorder="1" applyAlignment="1">
      <alignment horizontal="center"/>
    </xf>
    <xf numFmtId="49" fontId="49" fillId="0" borderId="11" xfId="0" applyNumberFormat="1" applyFont="1" applyBorder="1"/>
    <xf numFmtId="0" fontId="47" fillId="0" borderId="12" xfId="0" applyFont="1" applyBorder="1" applyAlignment="1">
      <alignment horizontal="center"/>
    </xf>
    <xf numFmtId="167" fontId="49" fillId="0" borderId="12" xfId="0" applyNumberFormat="1" applyFont="1" applyBorder="1" applyAlignment="1">
      <alignment horizontal="center"/>
    </xf>
    <xf numFmtId="167" fontId="49" fillId="0" borderId="11" xfId="0" applyNumberFormat="1" applyFont="1" applyBorder="1" applyAlignment="1">
      <alignment horizontal="center"/>
    </xf>
    <xf numFmtId="167" fontId="49" fillId="0" borderId="13" xfId="0" applyNumberFormat="1" applyFont="1" applyBorder="1" applyAlignment="1">
      <alignment horizontal="center"/>
    </xf>
    <xf numFmtId="49" fontId="49" fillId="0" borderId="8" xfId="0" applyNumberFormat="1" applyFont="1" applyBorder="1"/>
    <xf numFmtId="167" fontId="49" fillId="0" borderId="0" xfId="0" applyNumberFormat="1" applyFont="1" applyAlignment="1">
      <alignment horizontal="center"/>
    </xf>
    <xf numFmtId="167" fontId="50" fillId="0" borderId="0" xfId="0" applyNumberFormat="1" applyFont="1" applyAlignment="1">
      <alignment horizontal="center"/>
    </xf>
    <xf numFmtId="167" fontId="51" fillId="0" borderId="8" xfId="0" applyNumberFormat="1" applyFont="1" applyBorder="1" applyAlignment="1">
      <alignment horizontal="center"/>
    </xf>
    <xf numFmtId="167" fontId="51" fillId="0" borderId="0" xfId="0" applyNumberFormat="1" applyFont="1" applyAlignment="1">
      <alignment horizontal="center"/>
    </xf>
    <xf numFmtId="167" fontId="49" fillId="0" borderId="18" xfId="0" applyNumberFormat="1" applyFont="1" applyBorder="1" applyAlignment="1">
      <alignment horizontal="center"/>
    </xf>
    <xf numFmtId="167" fontId="49" fillId="0" borderId="8" xfId="0" applyNumberFormat="1" applyFont="1" applyBorder="1" applyAlignment="1">
      <alignment horizontal="center"/>
    </xf>
    <xf numFmtId="167" fontId="51" fillId="0" borderId="18" xfId="0" applyNumberFormat="1" applyFont="1" applyBorder="1" applyAlignment="1">
      <alignment horizontal="center"/>
    </xf>
    <xf numFmtId="49" fontId="49" fillId="0" borderId="10" xfId="0" applyNumberFormat="1" applyFont="1" applyBorder="1"/>
    <xf numFmtId="0" fontId="47" fillId="0" borderId="9" xfId="0" applyFont="1" applyBorder="1" applyAlignment="1">
      <alignment horizontal="center"/>
    </xf>
    <xf numFmtId="167" fontId="49" fillId="0" borderId="9" xfId="0" applyNumberFormat="1" applyFont="1" applyBorder="1" applyAlignment="1">
      <alignment horizontal="center"/>
    </xf>
    <xf numFmtId="167" fontId="50" fillId="0" borderId="9" xfId="0" applyNumberFormat="1" applyFont="1" applyBorder="1" applyAlignment="1">
      <alignment horizontal="center"/>
    </xf>
    <xf numFmtId="167" fontId="49" fillId="0" borderId="10" xfId="0" applyNumberFormat="1" applyFont="1" applyBorder="1" applyAlignment="1">
      <alignment horizontal="center"/>
    </xf>
    <xf numFmtId="167" fontId="49" fillId="0" borderId="14" xfId="0" applyNumberFormat="1" applyFont="1" applyBorder="1" applyAlignment="1">
      <alignment horizontal="center"/>
    </xf>
    <xf numFmtId="167" fontId="27" fillId="0" borderId="12" xfId="0" applyNumberFormat="1" applyFont="1" applyBorder="1" applyAlignment="1">
      <alignment horizontal="center"/>
    </xf>
    <xf numFmtId="167" fontId="19" fillId="0" borderId="18" xfId="0" applyNumberFormat="1" applyFont="1" applyBorder="1" applyAlignment="1">
      <alignment horizontal="center"/>
    </xf>
    <xf numFmtId="0" fontId="2" fillId="0" borderId="18" xfId="0" applyFont="1" applyBorder="1"/>
    <xf numFmtId="173" fontId="4" fillId="0" borderId="18" xfId="0" applyNumberFormat="1" applyFont="1" applyBorder="1" applyAlignment="1">
      <alignment horizontal="center"/>
    </xf>
    <xf numFmtId="0" fontId="6" fillId="0" borderId="18" xfId="0" applyFont="1" applyBorder="1"/>
    <xf numFmtId="0" fontId="39" fillId="0" borderId="0" xfId="0" applyFont="1" applyAlignment="1">
      <alignment horizontal="left"/>
    </xf>
    <xf numFmtId="9" fontId="52" fillId="0" borderId="0" xfId="0" applyNumberFormat="1" applyFont="1" applyAlignment="1">
      <alignment horizontal="left"/>
    </xf>
    <xf numFmtId="49" fontId="5" fillId="0" borderId="9" xfId="0" applyNumberFormat="1" applyFont="1" applyBorder="1"/>
    <xf numFmtId="0" fontId="5" fillId="0" borderId="9" xfId="0" applyFont="1" applyBorder="1" applyAlignment="1">
      <alignment horizontal="center"/>
    </xf>
    <xf numFmtId="0" fontId="39" fillId="0" borderId="9" xfId="0" applyFont="1" applyBorder="1" applyAlignment="1">
      <alignment horizontal="left"/>
    </xf>
    <xf numFmtId="0" fontId="3" fillId="2" borderId="40" xfId="0" applyFont="1" applyFill="1" applyBorder="1"/>
    <xf numFmtId="49" fontId="2" fillId="2" borderId="6" xfId="0" applyNumberFormat="1" applyFont="1" applyFill="1" applyBorder="1"/>
    <xf numFmtId="172" fontId="48" fillId="2" borderId="6" xfId="0" applyNumberFormat="1" applyFont="1" applyFill="1" applyBorder="1" applyAlignment="1">
      <alignment horizontal="center"/>
    </xf>
    <xf numFmtId="167" fontId="8" fillId="2" borderId="6" xfId="0" applyNumberFormat="1" applyFont="1" applyFill="1" applyBorder="1" applyAlignment="1">
      <alignment horizontal="center"/>
    </xf>
    <xf numFmtId="1" fontId="9" fillId="2" borderId="6" xfId="0" applyNumberFormat="1" applyFont="1" applyFill="1" applyBorder="1" applyAlignment="1">
      <alignment horizontal="center"/>
    </xf>
    <xf numFmtId="167" fontId="27" fillId="0" borderId="14" xfId="0" applyNumberFormat="1" applyFont="1" applyBorder="1" applyAlignment="1">
      <alignment horizontal="center"/>
    </xf>
    <xf numFmtId="0" fontId="4" fillId="0" borderId="16" xfId="0" applyFont="1" applyBorder="1" applyAlignment="1">
      <alignment horizontal="center"/>
    </xf>
    <xf numFmtId="167" fontId="6" fillId="0" borderId="16" xfId="0" applyNumberFormat="1" applyFont="1" applyBorder="1" applyAlignment="1">
      <alignment horizontal="center"/>
    </xf>
    <xf numFmtId="0" fontId="53" fillId="0" borderId="0" xfId="0" applyFont="1"/>
    <xf numFmtId="10" fontId="5" fillId="0" borderId="0" xfId="0" applyNumberFormat="1" applyFont="1" applyAlignment="1">
      <alignment horizontal="center"/>
    </xf>
    <xf numFmtId="10" fontId="5" fillId="0" borderId="9" xfId="0" applyNumberFormat="1" applyFont="1" applyBorder="1" applyAlignment="1">
      <alignment horizontal="center"/>
    </xf>
    <xf numFmtId="0" fontId="6" fillId="0" borderId="0" xfId="0" applyFont="1" applyAlignment="1">
      <alignment vertical="center"/>
    </xf>
    <xf numFmtId="167" fontId="27" fillId="0" borderId="15" xfId="0" applyNumberFormat="1" applyFont="1" applyBorder="1" applyAlignment="1">
      <alignment horizontal="center"/>
    </xf>
    <xf numFmtId="167" fontId="27" fillId="0" borderId="16" xfId="0" applyNumberFormat="1" applyFont="1" applyBorder="1" applyAlignment="1">
      <alignment horizontal="center"/>
    </xf>
    <xf numFmtId="167" fontId="27" fillId="0" borderId="17" xfId="0" applyNumberFormat="1" applyFont="1" applyBorder="1" applyAlignment="1">
      <alignment horizontal="center"/>
    </xf>
    <xf numFmtId="0" fontId="5" fillId="0" borderId="16" xfId="0" applyFont="1" applyBorder="1"/>
    <xf numFmtId="167" fontId="27" fillId="0" borderId="13" xfId="0" applyNumberFormat="1" applyFont="1" applyBorder="1" applyAlignment="1">
      <alignment horizontal="center"/>
    </xf>
    <xf numFmtId="173" fontId="5" fillId="0" borderId="0" xfId="0" applyNumberFormat="1" applyFont="1" applyAlignment="1">
      <alignment horizontal="center"/>
    </xf>
    <xf numFmtId="173" fontId="5" fillId="0" borderId="8" xfId="0" applyNumberFormat="1" applyFont="1" applyBorder="1" applyAlignment="1">
      <alignment horizontal="center"/>
    </xf>
    <xf numFmtId="173" fontId="5" fillId="0" borderId="18" xfId="0" applyNumberFormat="1" applyFont="1" applyBorder="1" applyAlignment="1">
      <alignment horizontal="center"/>
    </xf>
    <xf numFmtId="0" fontId="6" fillId="0" borderId="18" xfId="0" applyFont="1" applyBorder="1" applyAlignment="1">
      <alignment horizontal="left" wrapText="1"/>
    </xf>
    <xf numFmtId="0" fontId="54" fillId="0" borderId="8" xfId="0" applyFont="1" applyBorder="1"/>
    <xf numFmtId="49" fontId="54" fillId="0" borderId="0" xfId="0" applyNumberFormat="1" applyFont="1"/>
    <xf numFmtId="0" fontId="55" fillId="0" borderId="0" xfId="0" applyFont="1" applyAlignment="1">
      <alignment horizontal="center"/>
    </xf>
    <xf numFmtId="167" fontId="54" fillId="0" borderId="0" xfId="0" applyNumberFormat="1" applyFont="1" applyAlignment="1">
      <alignment horizontal="center"/>
    </xf>
    <xf numFmtId="167" fontId="54" fillId="0" borderId="8" xfId="0" applyNumberFormat="1" applyFont="1" applyBorder="1" applyAlignment="1">
      <alignment horizontal="center"/>
    </xf>
    <xf numFmtId="167" fontId="54" fillId="0" borderId="18" xfId="0" applyNumberFormat="1" applyFont="1" applyBorder="1" applyAlignment="1">
      <alignment horizontal="center"/>
    </xf>
    <xf numFmtId="0" fontId="54" fillId="0" borderId="0" xfId="0" applyFont="1"/>
    <xf numFmtId="0" fontId="2" fillId="0" borderId="15" xfId="0" applyFont="1" applyBorder="1"/>
    <xf numFmtId="49" fontId="43" fillId="0" borderId="0" xfId="0" applyNumberFormat="1" applyFont="1"/>
    <xf numFmtId="0" fontId="43" fillId="0" borderId="0" xfId="0" applyFont="1" applyAlignment="1">
      <alignment horizontal="center"/>
    </xf>
    <xf numFmtId="167" fontId="43" fillId="0" borderId="0" xfId="0" applyNumberFormat="1" applyFont="1" applyAlignment="1">
      <alignment horizontal="center"/>
    </xf>
    <xf numFmtId="167" fontId="43" fillId="0" borderId="8" xfId="0" applyNumberFormat="1" applyFont="1" applyBorder="1" applyAlignment="1">
      <alignment horizontal="center"/>
    </xf>
    <xf numFmtId="167" fontId="43" fillId="0" borderId="18" xfId="0" applyNumberFormat="1" applyFont="1" applyBorder="1" applyAlignment="1">
      <alignment horizontal="center"/>
    </xf>
    <xf numFmtId="0" fontId="2" fillId="0" borderId="10" xfId="0" applyFont="1" applyBorder="1"/>
    <xf numFmtId="0" fontId="2" fillId="0" borderId="14" xfId="0" applyFont="1" applyBorder="1"/>
    <xf numFmtId="165" fontId="5" fillId="0" borderId="0" xfId="0" applyNumberFormat="1" applyFont="1" applyAlignment="1">
      <alignment horizontal="center"/>
    </xf>
    <xf numFmtId="3" fontId="3" fillId="2" borderId="1" xfId="0" applyNumberFormat="1" applyFont="1" applyFill="1" applyBorder="1" applyAlignment="1">
      <alignment horizontal="center" vertical="center"/>
    </xf>
    <xf numFmtId="0" fontId="3" fillId="9" borderId="41" xfId="0" applyFont="1" applyFill="1" applyBorder="1" applyAlignment="1">
      <alignment horizontal="center" vertical="center"/>
    </xf>
    <xf numFmtId="0" fontId="3" fillId="9" borderId="42" xfId="0" applyFont="1" applyFill="1" applyBorder="1" applyAlignment="1">
      <alignment horizontal="center" vertical="center"/>
    </xf>
    <xf numFmtId="0" fontId="3" fillId="9" borderId="43" xfId="0" applyFont="1" applyFill="1" applyBorder="1" applyAlignment="1">
      <alignment horizontal="center" vertical="center"/>
    </xf>
    <xf numFmtId="169" fontId="27" fillId="0" borderId="12" xfId="0" applyNumberFormat="1" applyFont="1" applyBorder="1" applyAlignment="1">
      <alignment horizontal="center"/>
    </xf>
    <xf numFmtId="165" fontId="27" fillId="0" borderId="12" xfId="0" applyNumberFormat="1" applyFont="1" applyBorder="1" applyAlignment="1">
      <alignment horizontal="center"/>
    </xf>
    <xf numFmtId="169" fontId="27" fillId="0" borderId="13" xfId="0" applyNumberFormat="1" applyFont="1" applyBorder="1" applyAlignment="1">
      <alignment horizontal="center"/>
    </xf>
    <xf numFmtId="0" fontId="5" fillId="0" borderId="0" xfId="0" applyFont="1" applyAlignment="1">
      <alignment horizontal="center" vertical="center" wrapText="1"/>
    </xf>
    <xf numFmtId="169" fontId="27" fillId="0" borderId="0" xfId="0" applyNumberFormat="1" applyFont="1" applyAlignment="1">
      <alignment horizontal="center"/>
    </xf>
    <xf numFmtId="165" fontId="27" fillId="0" borderId="0" xfId="0" applyNumberFormat="1" applyFont="1" applyAlignment="1">
      <alignment horizontal="center"/>
    </xf>
    <xf numFmtId="169" fontId="27" fillId="0" borderId="18" xfId="0" applyNumberFormat="1" applyFont="1" applyBorder="1" applyAlignment="1">
      <alignment horizontal="center"/>
    </xf>
    <xf numFmtId="0" fontId="6" fillId="0" borderId="10" xfId="0" applyFont="1" applyBorder="1" applyAlignment="1">
      <alignment horizontal="center"/>
    </xf>
    <xf numFmtId="169" fontId="27" fillId="0" borderId="9" xfId="0" applyNumberFormat="1" applyFont="1" applyBorder="1" applyAlignment="1">
      <alignment horizontal="center"/>
    </xf>
    <xf numFmtId="165" fontId="27" fillId="0" borderId="9" xfId="0" applyNumberFormat="1" applyFont="1" applyBorder="1" applyAlignment="1">
      <alignment horizontal="center"/>
    </xf>
    <xf numFmtId="169" fontId="27" fillId="0" borderId="14" xfId="0" applyNumberFormat="1" applyFont="1" applyBorder="1" applyAlignment="1">
      <alignment horizontal="center"/>
    </xf>
    <xf numFmtId="0" fontId="5" fillId="10" borderId="41" xfId="0" applyFont="1" applyFill="1" applyBorder="1" applyAlignment="1">
      <alignment vertical="center"/>
    </xf>
    <xf numFmtId="0" fontId="5" fillId="10" borderId="42" xfId="0" applyFont="1" applyFill="1" applyBorder="1" applyAlignment="1">
      <alignment vertical="center"/>
    </xf>
    <xf numFmtId="0" fontId="17" fillId="10" borderId="42" xfId="0" applyFont="1" applyFill="1" applyBorder="1" applyAlignment="1">
      <alignment horizontal="center" vertical="center"/>
    </xf>
    <xf numFmtId="169" fontId="5" fillId="10" borderId="43" xfId="0" applyNumberFormat="1" applyFont="1" applyFill="1" applyBorder="1" applyAlignment="1">
      <alignment horizontal="center" vertical="center"/>
    </xf>
    <xf numFmtId="0" fontId="17" fillId="0" borderId="0" xfId="0" applyFont="1"/>
    <xf numFmtId="0" fontId="3" fillId="0" borderId="0" xfId="0" applyFont="1"/>
    <xf numFmtId="0" fontId="3" fillId="11" borderId="42" xfId="0" applyFont="1" applyFill="1" applyBorder="1" applyAlignment="1">
      <alignment horizontal="center"/>
    </xf>
    <xf numFmtId="10" fontId="3" fillId="11" borderId="42" xfId="0" applyNumberFormat="1" applyFont="1" applyFill="1" applyBorder="1" applyAlignment="1">
      <alignment horizontal="center"/>
    </xf>
    <xf numFmtId="0" fontId="3" fillId="11" borderId="44" xfId="0" applyFont="1" applyFill="1" applyBorder="1" applyAlignment="1">
      <alignment horizontal="center"/>
    </xf>
    <xf numFmtId="169" fontId="6" fillId="0" borderId="12" xfId="0" applyNumberFormat="1" applyFont="1" applyBorder="1" applyAlignment="1">
      <alignment horizontal="center"/>
    </xf>
    <xf numFmtId="0" fontId="56" fillId="0" borderId="0" xfId="0" applyFont="1"/>
    <xf numFmtId="169" fontId="6" fillId="0" borderId="9" xfId="0" applyNumberFormat="1" applyFont="1" applyBorder="1" applyAlignment="1">
      <alignment horizontal="center"/>
    </xf>
    <xf numFmtId="0" fontId="5" fillId="0" borderId="9" xfId="0" applyFont="1" applyBorder="1" applyAlignment="1">
      <alignment horizontal="right"/>
    </xf>
    <xf numFmtId="2" fontId="5" fillId="0" borderId="14" xfId="0" applyNumberFormat="1" applyFont="1" applyBorder="1" applyAlignment="1">
      <alignment horizontal="center"/>
    </xf>
    <xf numFmtId="0" fontId="5" fillId="0" borderId="0" xfId="0" applyFont="1" applyAlignment="1">
      <alignment horizontal="right"/>
    </xf>
    <xf numFmtId="2" fontId="5" fillId="0" borderId="0" xfId="0" applyNumberFormat="1" applyFont="1" applyAlignment="1">
      <alignment horizontal="center"/>
    </xf>
    <xf numFmtId="0" fontId="57" fillId="0" borderId="0" xfId="0" applyFont="1" applyAlignment="1">
      <alignment horizontal="center" vertical="center" wrapText="1"/>
    </xf>
    <xf numFmtId="0" fontId="3" fillId="2" borderId="1" xfId="0" applyFont="1" applyFill="1" applyBorder="1" applyAlignment="1">
      <alignment vertical="center"/>
    </xf>
    <xf numFmtId="0" fontId="4" fillId="0" borderId="8" xfId="0" applyFont="1" applyBorder="1"/>
    <xf numFmtId="0" fontId="61" fillId="0" borderId="0" xfId="0" applyFont="1" applyAlignment="1">
      <alignment horizontal="left"/>
    </xf>
    <xf numFmtId="174" fontId="27" fillId="0" borderId="0" xfId="0" applyNumberFormat="1" applyFont="1"/>
    <xf numFmtId="0" fontId="62" fillId="0" borderId="8" xfId="0" applyFont="1" applyBorder="1" applyAlignment="1">
      <alignment vertical="center" wrapText="1"/>
    </xf>
    <xf numFmtId="0" fontId="62" fillId="0" borderId="0" xfId="0" applyFont="1" applyAlignment="1">
      <alignment vertical="center" wrapText="1"/>
    </xf>
    <xf numFmtId="10" fontId="5" fillId="0" borderId="18" xfId="0" applyNumberFormat="1" applyFont="1" applyBorder="1" applyAlignment="1">
      <alignment horizontal="center"/>
    </xf>
    <xf numFmtId="174" fontId="5" fillId="0" borderId="18" xfId="0" applyNumberFormat="1" applyFont="1" applyBorder="1" applyAlignment="1">
      <alignment horizontal="center"/>
    </xf>
    <xf numFmtId="0" fontId="17" fillId="0" borderId="18" xfId="0" applyFont="1" applyBorder="1" applyAlignment="1">
      <alignment horizontal="center"/>
    </xf>
    <xf numFmtId="167" fontId="17" fillId="0" borderId="18" xfId="0" applyNumberFormat="1" applyFont="1" applyBorder="1" applyAlignment="1">
      <alignment horizontal="center"/>
    </xf>
    <xf numFmtId="179" fontId="4" fillId="0" borderId="18" xfId="0" applyNumberFormat="1" applyFont="1" applyBorder="1" applyAlignment="1">
      <alignment horizontal="center"/>
    </xf>
    <xf numFmtId="167" fontId="4" fillId="0" borderId="18" xfId="0" applyNumberFormat="1" applyFont="1" applyBorder="1" applyAlignment="1">
      <alignment horizontal="center"/>
    </xf>
    <xf numFmtId="10" fontId="17" fillId="0" borderId="18" xfId="0" applyNumberFormat="1" applyFont="1" applyBorder="1" applyAlignment="1">
      <alignment horizontal="center"/>
    </xf>
    <xf numFmtId="0" fontId="63" fillId="13" borderId="1" xfId="0" applyFont="1" applyFill="1" applyBorder="1"/>
    <xf numFmtId="10" fontId="17" fillId="0" borderId="0" xfId="0" applyNumberFormat="1" applyFont="1" applyAlignment="1">
      <alignment horizontal="center"/>
    </xf>
    <xf numFmtId="0" fontId="3" fillId="2" borderId="1" xfId="0" applyFont="1" applyFill="1" applyBorder="1" applyAlignment="1">
      <alignment horizontal="center" vertical="center"/>
    </xf>
    <xf numFmtId="167" fontId="3" fillId="2" borderId="1" xfId="0" applyNumberFormat="1" applyFont="1" applyFill="1" applyBorder="1" applyAlignment="1">
      <alignment horizontal="center" vertical="center"/>
    </xf>
    <xf numFmtId="0" fontId="3" fillId="2" borderId="1" xfId="0" applyFont="1" applyFill="1" applyBorder="1" applyAlignment="1">
      <alignment horizontal="center"/>
    </xf>
    <xf numFmtId="0" fontId="48" fillId="2" borderId="1" xfId="0" applyFont="1" applyFill="1" applyBorder="1" applyAlignment="1">
      <alignment horizontal="center" vertical="center"/>
    </xf>
    <xf numFmtId="10" fontId="3" fillId="2" borderId="1" xfId="0" applyNumberFormat="1" applyFont="1" applyFill="1" applyBorder="1" applyAlignment="1">
      <alignment horizontal="center"/>
    </xf>
    <xf numFmtId="0" fontId="4" fillId="0" borderId="11" xfId="0" applyFont="1" applyBorder="1"/>
    <xf numFmtId="173" fontId="4" fillId="0" borderId="12" xfId="0" applyNumberFormat="1" applyFont="1" applyBorder="1" applyAlignment="1">
      <alignment horizontal="center"/>
    </xf>
    <xf numFmtId="173" fontId="17" fillId="0" borderId="9" xfId="0" applyNumberFormat="1" applyFont="1" applyBorder="1" applyAlignment="1">
      <alignment horizontal="center"/>
    </xf>
    <xf numFmtId="0" fontId="66" fillId="0" borderId="9" xfId="0" applyFont="1" applyBorder="1" applyAlignment="1">
      <alignment vertical="center"/>
    </xf>
    <xf numFmtId="0" fontId="2" fillId="0" borderId="9" xfId="0" applyFont="1" applyBorder="1" applyAlignment="1">
      <alignment vertical="center"/>
    </xf>
    <xf numFmtId="0" fontId="2" fillId="0" borderId="14" xfId="0" applyFont="1" applyBorder="1" applyAlignment="1">
      <alignment vertical="center"/>
    </xf>
    <xf numFmtId="0" fontId="6" fillId="0" borderId="8" xfId="0" applyFont="1" applyBorder="1" applyAlignment="1">
      <alignment horizontal="left"/>
    </xf>
    <xf numFmtId="0" fontId="17" fillId="0" borderId="0" xfId="0" applyFont="1" applyAlignment="1">
      <alignment horizontal="left"/>
    </xf>
    <xf numFmtId="0" fontId="17" fillId="0" borderId="18" xfId="0" applyFont="1" applyBorder="1" applyAlignment="1">
      <alignment horizontal="left"/>
    </xf>
    <xf numFmtId="0" fontId="6" fillId="0" borderId="10" xfId="0" applyFont="1" applyBorder="1" applyAlignment="1">
      <alignment horizontal="left"/>
    </xf>
    <xf numFmtId="171" fontId="4" fillId="0" borderId="0" xfId="0" applyNumberFormat="1" applyFont="1" applyAlignment="1">
      <alignment horizontal="center" vertical="center"/>
    </xf>
    <xf numFmtId="0" fontId="17" fillId="0" borderId="9" xfId="0" applyFont="1" applyBorder="1" applyAlignment="1">
      <alignment horizontal="left"/>
    </xf>
    <xf numFmtId="0" fontId="3" fillId="0" borderId="0" xfId="0" applyFont="1" applyAlignment="1">
      <alignment vertical="center"/>
    </xf>
    <xf numFmtId="0" fontId="5" fillId="14" borderId="41" xfId="0" applyFont="1" applyFill="1" applyBorder="1" applyAlignment="1">
      <alignment vertical="center"/>
    </xf>
    <xf numFmtId="0" fontId="17" fillId="14" borderId="42" xfId="0" applyFont="1" applyFill="1" applyBorder="1" applyAlignment="1">
      <alignment horizontal="center" vertical="center"/>
    </xf>
    <xf numFmtId="167" fontId="5" fillId="14" borderId="42" xfId="0" applyNumberFormat="1" applyFont="1" applyFill="1" applyBorder="1" applyAlignment="1">
      <alignment horizontal="center" vertical="center"/>
    </xf>
    <xf numFmtId="0" fontId="6" fillId="14" borderId="42" xfId="0" applyFont="1" applyFill="1" applyBorder="1" applyAlignment="1">
      <alignment horizontal="left" vertical="center"/>
    </xf>
    <xf numFmtId="0" fontId="5" fillId="14" borderId="42" xfId="0" applyFont="1" applyFill="1" applyBorder="1" applyAlignment="1">
      <alignment vertical="center"/>
    </xf>
    <xf numFmtId="0" fontId="17" fillId="0" borderId="12" xfId="0" applyFont="1" applyBorder="1" applyAlignment="1">
      <alignment horizontal="center"/>
    </xf>
    <xf numFmtId="0" fontId="5" fillId="0" borderId="0" xfId="0" applyFont="1" applyAlignment="1">
      <alignment vertical="center"/>
    </xf>
    <xf numFmtId="0" fontId="4" fillId="0" borderId="0" xfId="0" applyFont="1" applyAlignment="1">
      <alignment horizontal="center" vertical="center" wrapText="1"/>
    </xf>
    <xf numFmtId="179" fontId="5" fillId="0" borderId="18" xfId="0" applyNumberFormat="1" applyFont="1" applyBorder="1" applyAlignment="1">
      <alignment horizontal="center"/>
    </xf>
    <xf numFmtId="165" fontId="4" fillId="0" borderId="14" xfId="0" applyNumberFormat="1" applyFont="1" applyBorder="1" applyAlignment="1">
      <alignment horizontal="center"/>
    </xf>
    <xf numFmtId="0" fontId="2" fillId="0" borderId="11" xfId="0" applyFont="1" applyBorder="1"/>
    <xf numFmtId="0" fontId="5" fillId="0" borderId="12" xfId="0" applyFont="1" applyBorder="1" applyAlignment="1">
      <alignment horizontal="center" wrapText="1"/>
    </xf>
    <xf numFmtId="0" fontId="5" fillId="0" borderId="11" xfId="0" applyFont="1" applyBorder="1" applyAlignment="1">
      <alignment horizontal="center" wrapText="1"/>
    </xf>
    <xf numFmtId="0" fontId="2" fillId="0" borderId="12" xfId="0" applyFont="1" applyBorder="1" applyAlignment="1">
      <alignment vertical="top"/>
    </xf>
    <xf numFmtId="0" fontId="2" fillId="0" borderId="13" xfId="0" applyFont="1" applyBorder="1" applyAlignment="1">
      <alignment vertical="top"/>
    </xf>
    <xf numFmtId="0" fontId="2" fillId="0" borderId="0" xfId="0" applyFont="1" applyAlignment="1">
      <alignment vertical="center"/>
    </xf>
    <xf numFmtId="180" fontId="6" fillId="0" borderId="0" xfId="0" applyNumberFormat="1" applyFont="1" applyAlignment="1">
      <alignment horizontal="center" vertical="center"/>
    </xf>
    <xf numFmtId="10" fontId="6" fillId="0" borderId="8" xfId="0" applyNumberFormat="1" applyFont="1" applyBorder="1" applyAlignment="1">
      <alignment horizontal="center" vertical="center"/>
    </xf>
    <xf numFmtId="0" fontId="38" fillId="0" borderId="0" xfId="0" applyFont="1" applyAlignment="1">
      <alignment vertical="center"/>
    </xf>
    <xf numFmtId="0" fontId="69" fillId="0" borderId="0" xfId="0" applyFont="1" applyAlignment="1">
      <alignment vertical="center"/>
    </xf>
    <xf numFmtId="0" fontId="2" fillId="0" borderId="18" xfId="0" applyFont="1" applyBorder="1" applyAlignment="1">
      <alignment vertical="center"/>
    </xf>
    <xf numFmtId="180" fontId="6" fillId="0" borderId="8" xfId="0" applyNumberFormat="1" applyFont="1" applyBorder="1" applyAlignment="1">
      <alignment horizontal="center" vertical="center"/>
    </xf>
    <xf numFmtId="2" fontId="6" fillId="0" borderId="0" xfId="0" applyNumberFormat="1" applyFont="1" applyAlignment="1">
      <alignment horizontal="center" vertical="center"/>
    </xf>
    <xf numFmtId="180" fontId="5" fillId="0" borderId="0" xfId="0" applyNumberFormat="1" applyFont="1" applyAlignment="1">
      <alignment horizontal="center" vertical="center"/>
    </xf>
    <xf numFmtId="166" fontId="6" fillId="0" borderId="0" xfId="0" applyNumberFormat="1" applyFont="1" applyAlignment="1">
      <alignment horizontal="center" vertical="center"/>
    </xf>
    <xf numFmtId="171" fontId="6" fillId="0" borderId="0" xfId="0" applyNumberFormat="1" applyFont="1" applyAlignment="1">
      <alignment horizontal="center" vertical="center"/>
    </xf>
    <xf numFmtId="166" fontId="5" fillId="0" borderId="0" xfId="0" applyNumberFormat="1" applyFont="1" applyAlignment="1">
      <alignment horizontal="center" vertical="center"/>
    </xf>
    <xf numFmtId="166" fontId="2" fillId="0" borderId="0" xfId="0" applyNumberFormat="1" applyFont="1" applyAlignment="1">
      <alignment vertical="center"/>
    </xf>
    <xf numFmtId="49" fontId="6" fillId="0" borderId="0" xfId="0" applyNumberFormat="1" applyFont="1" applyAlignment="1">
      <alignment vertical="center"/>
    </xf>
    <xf numFmtId="164" fontId="2" fillId="0" borderId="0" xfId="0" applyNumberFormat="1" applyFont="1" applyAlignment="1">
      <alignment vertical="center"/>
    </xf>
    <xf numFmtId="164" fontId="5" fillId="0" borderId="0" xfId="0" applyNumberFormat="1" applyFont="1" applyAlignment="1">
      <alignment horizontal="center" vertical="center"/>
    </xf>
    <xf numFmtId="164" fontId="6" fillId="0" borderId="0" xfId="0" applyNumberFormat="1" applyFont="1" applyAlignment="1">
      <alignment horizontal="center" vertical="center"/>
    </xf>
    <xf numFmtId="0" fontId="5" fillId="0" borderId="9" xfId="0" applyFont="1" applyBorder="1" applyAlignment="1">
      <alignment vertical="center"/>
    </xf>
    <xf numFmtId="0" fontId="70" fillId="0" borderId="0" xfId="0" applyFont="1"/>
    <xf numFmtId="0" fontId="71" fillId="0" borderId="0" xfId="0" applyFont="1" applyAlignment="1">
      <alignment horizontal="center"/>
    </xf>
    <xf numFmtId="0" fontId="72" fillId="0" borderId="0" xfId="0" applyFont="1"/>
    <xf numFmtId="181" fontId="72" fillId="5" borderId="24" xfId="0" applyNumberFormat="1" applyFont="1" applyFill="1" applyBorder="1" applyAlignment="1">
      <alignment horizontal="center"/>
    </xf>
    <xf numFmtId="10" fontId="73" fillId="15" borderId="24" xfId="0" applyNumberFormat="1" applyFont="1" applyFill="1" applyBorder="1" applyAlignment="1">
      <alignment horizontal="center"/>
    </xf>
    <xf numFmtId="0" fontId="74" fillId="0" borderId="0" xfId="0" applyFont="1"/>
    <xf numFmtId="0" fontId="75" fillId="16" borderId="46" xfId="0" applyFont="1" applyFill="1" applyBorder="1" applyAlignment="1">
      <alignment horizontal="left" vertical="center" wrapText="1"/>
    </xf>
    <xf numFmtId="0" fontId="73" fillId="16" borderId="48" xfId="0" applyFont="1" applyFill="1" applyBorder="1" applyAlignment="1">
      <alignment horizontal="left" vertical="center" wrapText="1"/>
    </xf>
    <xf numFmtId="0" fontId="72" fillId="16" borderId="48" xfId="0" applyFont="1" applyFill="1" applyBorder="1" applyAlignment="1">
      <alignment horizontal="center" vertical="center" wrapText="1"/>
    </xf>
    <xf numFmtId="0" fontId="75" fillId="16" borderId="48" xfId="0" applyFont="1" applyFill="1" applyBorder="1" applyAlignment="1">
      <alignment horizontal="center" vertical="center" wrapText="1"/>
    </xf>
    <xf numFmtId="0" fontId="75" fillId="16" borderId="40" xfId="0" applyFont="1" applyFill="1" applyBorder="1" applyAlignment="1">
      <alignment horizontal="center" vertical="center" wrapText="1"/>
    </xf>
    <xf numFmtId="0" fontId="72" fillId="14" borderId="43" xfId="0" applyFont="1" applyFill="1" applyBorder="1" applyAlignment="1">
      <alignment vertical="center"/>
    </xf>
    <xf numFmtId="0" fontId="73" fillId="14" borderId="24" xfId="0" applyFont="1" applyFill="1" applyBorder="1" applyAlignment="1">
      <alignment vertical="center"/>
    </xf>
    <xf numFmtId="0" fontId="72" fillId="14" borderId="24" xfId="0" applyFont="1" applyFill="1" applyBorder="1" applyAlignment="1">
      <alignment horizontal="center" vertical="center"/>
    </xf>
    <xf numFmtId="10" fontId="72" fillId="14" borderId="24" xfId="0" applyNumberFormat="1" applyFont="1" applyFill="1" applyBorder="1" applyAlignment="1">
      <alignment horizontal="center" vertical="center"/>
    </xf>
    <xf numFmtId="10" fontId="72" fillId="14" borderId="41" xfId="0" applyNumberFormat="1" applyFont="1" applyFill="1" applyBorder="1" applyAlignment="1">
      <alignment horizontal="center" vertical="center"/>
    </xf>
    <xf numFmtId="0" fontId="72" fillId="16" borderId="43" xfId="0" applyFont="1" applyFill="1" applyBorder="1" applyAlignment="1">
      <alignment vertical="center"/>
    </xf>
    <xf numFmtId="0" fontId="73" fillId="16" borderId="24" xfId="0" applyFont="1" applyFill="1" applyBorder="1" applyAlignment="1">
      <alignment vertical="center"/>
    </xf>
    <xf numFmtId="0" fontId="72" fillId="16" borderId="24" xfId="0" applyFont="1" applyFill="1" applyBorder="1" applyAlignment="1">
      <alignment horizontal="center" vertical="center"/>
    </xf>
    <xf numFmtId="10" fontId="72" fillId="16" borderId="24" xfId="0" applyNumberFormat="1" applyFont="1" applyFill="1" applyBorder="1" applyAlignment="1">
      <alignment horizontal="center" vertical="center"/>
    </xf>
    <xf numFmtId="0" fontId="72" fillId="16" borderId="41" xfId="0" applyFont="1" applyFill="1" applyBorder="1" applyAlignment="1">
      <alignment horizontal="center" vertical="center"/>
    </xf>
    <xf numFmtId="0" fontId="72" fillId="14" borderId="41" xfId="0" applyFont="1" applyFill="1" applyBorder="1" applyAlignment="1">
      <alignment horizontal="center" vertical="center"/>
    </xf>
    <xf numFmtId="10" fontId="72" fillId="16" borderId="41" xfId="0" applyNumberFormat="1" applyFont="1" applyFill="1" applyBorder="1" applyAlignment="1">
      <alignment horizontal="center" vertical="center"/>
    </xf>
    <xf numFmtId="0" fontId="72" fillId="5" borderId="43" xfId="0" applyFont="1" applyFill="1" applyBorder="1" applyAlignment="1">
      <alignment vertical="center"/>
    </xf>
    <xf numFmtId="0" fontId="73" fillId="5" borderId="24" xfId="0" applyFont="1" applyFill="1" applyBorder="1" applyAlignment="1">
      <alignment vertical="center"/>
    </xf>
    <xf numFmtId="0" fontId="72" fillId="5" borderId="24" xfId="0" applyFont="1" applyFill="1" applyBorder="1" applyAlignment="1">
      <alignment horizontal="center" vertical="center"/>
    </xf>
    <xf numFmtId="10" fontId="72" fillId="5" borderId="24" xfId="0" applyNumberFormat="1" applyFont="1" applyFill="1" applyBorder="1" applyAlignment="1">
      <alignment horizontal="center" vertical="center"/>
    </xf>
    <xf numFmtId="0" fontId="72" fillId="5" borderId="41" xfId="0" applyFont="1" applyFill="1" applyBorder="1" applyAlignment="1">
      <alignment horizontal="center" vertical="center"/>
    </xf>
    <xf numFmtId="0" fontId="2" fillId="5" borderId="1" xfId="0" applyFont="1" applyFill="1" applyBorder="1"/>
    <xf numFmtId="10" fontId="72" fillId="14" borderId="49" xfId="0" applyNumberFormat="1" applyFont="1" applyFill="1" applyBorder="1" applyAlignment="1">
      <alignment horizontal="center" vertical="center"/>
    </xf>
    <xf numFmtId="10" fontId="72" fillId="14" borderId="33" xfId="0" applyNumberFormat="1" applyFont="1" applyFill="1" applyBorder="1" applyAlignment="1">
      <alignment horizontal="center" vertical="center"/>
    </xf>
    <xf numFmtId="0" fontId="72" fillId="16" borderId="49" xfId="0" applyFont="1" applyFill="1" applyBorder="1" applyAlignment="1">
      <alignment horizontal="center" vertical="center"/>
    </xf>
    <xf numFmtId="0" fontId="72" fillId="16" borderId="33" xfId="0" applyFont="1" applyFill="1" applyBorder="1" applyAlignment="1">
      <alignment horizontal="center" vertical="center"/>
    </xf>
    <xf numFmtId="0" fontId="72" fillId="14" borderId="49" xfId="0" applyFont="1" applyFill="1" applyBorder="1" applyAlignment="1">
      <alignment horizontal="center" vertical="center"/>
    </xf>
    <xf numFmtId="0" fontId="72" fillId="14" borderId="33" xfId="0" applyFont="1" applyFill="1" applyBorder="1" applyAlignment="1">
      <alignment horizontal="center" vertical="center"/>
    </xf>
    <xf numFmtId="10" fontId="72" fillId="16" borderId="49" xfId="0" applyNumberFormat="1" applyFont="1" applyFill="1" applyBorder="1" applyAlignment="1">
      <alignment horizontal="center" vertical="center"/>
    </xf>
    <xf numFmtId="10" fontId="72" fillId="16" borderId="33" xfId="0" applyNumberFormat="1" applyFont="1" applyFill="1" applyBorder="1" applyAlignment="1">
      <alignment horizontal="center" vertical="center"/>
    </xf>
    <xf numFmtId="179" fontId="5" fillId="0" borderId="9" xfId="0" applyNumberFormat="1" applyFont="1" applyBorder="1" applyAlignment="1">
      <alignment horizontal="center"/>
    </xf>
    <xf numFmtId="171" fontId="27" fillId="0" borderId="0" xfId="0" applyNumberFormat="1" applyFont="1" applyAlignment="1">
      <alignment horizontal="center"/>
    </xf>
    <xf numFmtId="0" fontId="76" fillId="0" borderId="0" xfId="0" applyFont="1"/>
    <xf numFmtId="167" fontId="76" fillId="0" borderId="0" xfId="0" applyNumberFormat="1" applyFont="1" applyAlignment="1">
      <alignment horizontal="center"/>
    </xf>
    <xf numFmtId="177" fontId="6" fillId="0" borderId="0" xfId="0" applyNumberFormat="1" applyFont="1" applyAlignment="1">
      <alignment horizontal="center"/>
    </xf>
    <xf numFmtId="0" fontId="3" fillId="2" borderId="51" xfId="0" applyFont="1" applyFill="1" applyBorder="1" applyAlignment="1">
      <alignment vertical="center"/>
    </xf>
    <xf numFmtId="0" fontId="58" fillId="2" borderId="52" xfId="0" applyFont="1" applyFill="1" applyBorder="1" applyAlignment="1">
      <alignment horizontal="center" vertical="center"/>
    </xf>
    <xf numFmtId="0" fontId="59" fillId="2" borderId="53" xfId="0" applyFont="1" applyFill="1" applyBorder="1" applyAlignment="1">
      <alignment vertical="center"/>
    </xf>
    <xf numFmtId="0" fontId="39" fillId="0" borderId="0" xfId="0" applyFont="1"/>
    <xf numFmtId="0" fontId="69" fillId="0" borderId="0" xfId="0" applyFont="1" applyAlignment="1">
      <alignment horizontal="center"/>
    </xf>
    <xf numFmtId="0" fontId="39" fillId="0" borderId="0" xfId="0" applyFont="1" applyAlignment="1">
      <alignment horizontal="center" vertical="center"/>
    </xf>
    <xf numFmtId="0" fontId="82" fillId="0" borderId="0" xfId="0" applyFont="1" applyAlignment="1">
      <alignment horizontal="center"/>
    </xf>
    <xf numFmtId="0" fontId="83" fillId="0" borderId="0" xfId="0" applyFont="1"/>
    <xf numFmtId="0" fontId="79" fillId="0" borderId="32" xfId="0" applyFont="1" applyBorder="1"/>
    <xf numFmtId="0" fontId="39" fillId="0" borderId="32" xfId="0" applyFont="1" applyBorder="1"/>
    <xf numFmtId="0" fontId="39" fillId="0" borderId="32" xfId="0" applyFont="1" applyBorder="1" applyAlignment="1">
      <alignment horizontal="center" vertical="center" wrapText="1"/>
    </xf>
    <xf numFmtId="0" fontId="6" fillId="0" borderId="32" xfId="0" applyFont="1" applyBorder="1"/>
    <xf numFmtId="0" fontId="0" fillId="0" borderId="32" xfId="0" applyBorder="1"/>
    <xf numFmtId="0" fontId="52" fillId="0" borderId="32" xfId="0" applyFont="1" applyBorder="1" applyAlignment="1">
      <alignment vertical="center" wrapText="1"/>
    </xf>
    <xf numFmtId="0" fontId="39" fillId="0" borderId="32" xfId="0" applyFont="1" applyBorder="1" applyAlignment="1">
      <alignment horizontal="left" wrapText="1"/>
    </xf>
    <xf numFmtId="0" fontId="78" fillId="0" borderId="32" xfId="0" applyFont="1" applyBorder="1"/>
    <xf numFmtId="0" fontId="39" fillId="0" borderId="32" xfId="0" applyFont="1" applyBorder="1" applyAlignment="1">
      <alignment vertical="center"/>
    </xf>
    <xf numFmtId="0" fontId="52" fillId="0" borderId="32" xfId="0" applyFont="1" applyBorder="1" applyAlignment="1">
      <alignment horizontal="left" vertical="center"/>
    </xf>
    <xf numFmtId="0" fontId="39" fillId="0" borderId="32" xfId="0" applyFont="1" applyBorder="1" applyAlignment="1">
      <alignment vertical="center" wrapText="1"/>
    </xf>
    <xf numFmtId="0" fontId="52" fillId="0" borderId="32" xfId="0" applyFont="1" applyBorder="1" applyAlignment="1">
      <alignment horizontal="center" vertical="center"/>
    </xf>
    <xf numFmtId="0" fontId="78" fillId="0" borderId="32" xfId="0" applyFont="1" applyBorder="1" applyAlignment="1">
      <alignment vertical="center"/>
    </xf>
    <xf numFmtId="0" fontId="0" fillId="0" borderId="0" xfId="0" applyAlignment="1">
      <alignment vertical="center"/>
    </xf>
    <xf numFmtId="0" fontId="5" fillId="0" borderId="0" xfId="0" applyFont="1" applyAlignment="1">
      <alignment horizontal="center" vertical="center"/>
    </xf>
    <xf numFmtId="167" fontId="5" fillId="0" borderId="32" xfId="0" applyNumberFormat="1" applyFont="1" applyBorder="1" applyAlignment="1">
      <alignment horizontal="center"/>
    </xf>
    <xf numFmtId="173" fontId="27" fillId="0" borderId="32" xfId="0" applyNumberFormat="1" applyFont="1" applyBorder="1" applyAlignment="1">
      <alignment horizontal="center"/>
    </xf>
    <xf numFmtId="0" fontId="6" fillId="0" borderId="32" xfId="0" applyFont="1" applyBorder="1" applyAlignment="1">
      <alignment horizontal="center"/>
    </xf>
    <xf numFmtId="10" fontId="27" fillId="0" borderId="32" xfId="0" applyNumberFormat="1" applyFont="1" applyBorder="1" applyAlignment="1">
      <alignment horizontal="center"/>
    </xf>
    <xf numFmtId="167" fontId="5" fillId="0" borderId="50" xfId="0" applyNumberFormat="1" applyFont="1" applyBorder="1" applyAlignment="1">
      <alignment horizontal="center"/>
    </xf>
    <xf numFmtId="0" fontId="39" fillId="0" borderId="32" xfId="0" applyFont="1" applyBorder="1" applyAlignment="1">
      <alignment horizontal="left"/>
    </xf>
    <xf numFmtId="0" fontId="39" fillId="0" borderId="58" xfId="0" applyFont="1" applyBorder="1"/>
    <xf numFmtId="0" fontId="80" fillId="0" borderId="32" xfId="0" applyFont="1" applyBorder="1"/>
    <xf numFmtId="0" fontId="6" fillId="0" borderId="32" xfId="0" applyFont="1" applyBorder="1" applyAlignment="1">
      <alignment horizontal="left" vertical="center"/>
    </xf>
    <xf numFmtId="0" fontId="52" fillId="0" borderId="32" xfId="0" applyFont="1" applyBorder="1" applyAlignment="1">
      <alignment vertical="center"/>
    </xf>
    <xf numFmtId="0" fontId="42" fillId="0" borderId="0" xfId="0" applyFont="1" applyAlignment="1">
      <alignment horizontal="center" vertical="center"/>
    </xf>
    <xf numFmtId="0" fontId="39" fillId="0" borderId="32" xfId="0" applyFont="1" applyBorder="1" applyAlignment="1">
      <alignment vertical="top" wrapText="1"/>
    </xf>
    <xf numFmtId="0" fontId="39" fillId="0" borderId="32" xfId="0" applyFont="1" applyBorder="1" applyAlignment="1">
      <alignment horizontal="center"/>
    </xf>
    <xf numFmtId="0" fontId="41" fillId="0" borderId="0" xfId="0" applyFont="1" applyAlignment="1">
      <alignment horizontal="left" vertical="center"/>
    </xf>
    <xf numFmtId="0" fontId="41" fillId="0" borderId="0" xfId="0" applyFont="1" applyAlignment="1">
      <alignment horizontal="right" vertical="center"/>
    </xf>
    <xf numFmtId="0" fontId="39" fillId="0" borderId="0" xfId="0" applyFont="1" applyAlignment="1">
      <alignment vertical="center"/>
    </xf>
    <xf numFmtId="0" fontId="78" fillId="0" borderId="0" xfId="0" applyFont="1" applyAlignment="1">
      <alignment vertical="center"/>
    </xf>
    <xf numFmtId="0" fontId="81" fillId="0" borderId="0" xfId="0" applyFont="1" applyAlignment="1">
      <alignment vertical="center"/>
    </xf>
    <xf numFmtId="0" fontId="39" fillId="0" borderId="8" xfId="0" applyFont="1" applyBorder="1"/>
    <xf numFmtId="0" fontId="55" fillId="0" borderId="0" xfId="0" applyFont="1"/>
    <xf numFmtId="176" fontId="78" fillId="0" borderId="0" xfId="0" applyNumberFormat="1" applyFont="1" applyAlignment="1">
      <alignment horizontal="right"/>
    </xf>
    <xf numFmtId="0" fontId="3" fillId="0" borderId="32" xfId="0" applyFont="1" applyBorder="1"/>
    <xf numFmtId="167" fontId="6" fillId="0" borderId="47" xfId="0" applyNumberFormat="1" applyFont="1" applyBorder="1" applyAlignment="1">
      <alignment horizontal="center"/>
    </xf>
    <xf numFmtId="0" fontId="68" fillId="2" borderId="11" xfId="0" applyFont="1" applyFill="1" applyBorder="1" applyAlignment="1">
      <alignment horizontal="center" vertical="center"/>
    </xf>
    <xf numFmtId="0" fontId="12" fillId="0" borderId="12" xfId="0" applyFont="1" applyBorder="1"/>
    <xf numFmtId="0" fontId="12" fillId="0" borderId="13" xfId="0" applyFont="1" applyBorder="1"/>
    <xf numFmtId="0" fontId="12" fillId="0" borderId="10" xfId="0" applyFont="1" applyBorder="1"/>
    <xf numFmtId="0" fontId="12" fillId="0" borderId="9" xfId="0" applyFont="1" applyBorder="1"/>
    <xf numFmtId="0" fontId="12" fillId="0" borderId="14" xfId="0" applyFont="1" applyBorder="1"/>
    <xf numFmtId="0" fontId="17" fillId="0" borderId="11" xfId="0" applyFont="1" applyBorder="1" applyAlignment="1">
      <alignment horizontal="center" vertical="center" wrapText="1"/>
    </xf>
    <xf numFmtId="0" fontId="12" fillId="0" borderId="8" xfId="0" applyFont="1" applyBorder="1"/>
    <xf numFmtId="0" fontId="0" fillId="0" borderId="0" xfId="0"/>
    <xf numFmtId="0" fontId="12" fillId="0" borderId="18" xfId="0" applyFont="1" applyBorder="1"/>
    <xf numFmtId="0" fontId="3" fillId="3" borderId="51" xfId="0" applyFont="1" applyFill="1" applyBorder="1" applyAlignment="1">
      <alignment vertical="center"/>
    </xf>
    <xf numFmtId="0" fontId="12" fillId="0" borderId="52" xfId="0" applyFont="1" applyBorder="1"/>
    <xf numFmtId="0" fontId="12" fillId="0" borderId="53" xfId="0" applyFont="1" applyBorder="1"/>
    <xf numFmtId="0" fontId="3" fillId="12" borderId="51" xfId="0" applyFont="1" applyFill="1" applyBorder="1" applyAlignment="1">
      <alignment vertical="center"/>
    </xf>
    <xf numFmtId="0" fontId="12" fillId="0" borderId="16" xfId="0" applyFont="1" applyBorder="1"/>
    <xf numFmtId="0" fontId="12" fillId="0" borderId="17" xfId="0" applyFont="1" applyBorder="1"/>
    <xf numFmtId="0" fontId="79" fillId="0" borderId="8" xfId="0" applyFont="1" applyBorder="1"/>
    <xf numFmtId="0" fontId="78" fillId="0" borderId="0" xfId="0" applyFont="1"/>
    <xf numFmtId="0" fontId="64" fillId="0" borderId="12" xfId="0" applyFont="1" applyBorder="1" applyAlignment="1">
      <alignment vertical="center"/>
    </xf>
    <xf numFmtId="0" fontId="52" fillId="0" borderId="8" xfId="0" applyFont="1" applyBorder="1" applyAlignment="1">
      <alignment horizontal="center" wrapText="1"/>
    </xf>
    <xf numFmtId="0" fontId="52" fillId="0" borderId="8" xfId="0" applyFont="1" applyBorder="1" applyAlignment="1">
      <alignment horizontal="center" vertical="center" wrapText="1"/>
    </xf>
    <xf numFmtId="0" fontId="11" fillId="2" borderId="3" xfId="0" applyFont="1" applyFill="1" applyBorder="1" applyAlignment="1">
      <alignment horizontal="center"/>
    </xf>
    <xf numFmtId="0" fontId="12" fillId="0" borderId="4" xfId="0" applyFont="1" applyBorder="1"/>
    <xf numFmtId="0" fontId="12" fillId="0" borderId="5" xfId="0" applyFont="1" applyBorder="1"/>
    <xf numFmtId="0" fontId="65" fillId="0" borderId="0" xfId="0" applyFont="1" applyAlignment="1">
      <alignment vertical="center"/>
    </xf>
    <xf numFmtId="0" fontId="5" fillId="17" borderId="41" xfId="0" applyFont="1" applyFill="1" applyBorder="1" applyAlignment="1">
      <alignment horizontal="center"/>
    </xf>
    <xf numFmtId="0" fontId="12" fillId="0" borderId="45" xfId="0" applyFont="1" applyBorder="1"/>
    <xf numFmtId="0" fontId="12" fillId="0" borderId="43" xfId="0" applyFont="1" applyBorder="1"/>
    <xf numFmtId="0" fontId="78" fillId="0" borderId="28" xfId="0" applyFont="1" applyBorder="1" applyAlignment="1">
      <alignment horizontal="center" vertical="center" wrapText="1"/>
    </xf>
    <xf numFmtId="0" fontId="78" fillId="0" borderId="32" xfId="0" applyFont="1" applyBorder="1" applyAlignment="1">
      <alignment horizontal="center" vertical="center" wrapText="1"/>
    </xf>
    <xf numFmtId="0" fontId="39" fillId="0" borderId="32" xfId="0" applyFont="1" applyBorder="1" applyAlignment="1">
      <alignment horizontal="left" vertical="center" wrapText="1"/>
    </xf>
    <xf numFmtId="0" fontId="5" fillId="10" borderId="44" xfId="0" applyFont="1" applyFill="1" applyBorder="1" applyAlignment="1">
      <alignment horizontal="right" wrapText="1"/>
    </xf>
    <xf numFmtId="0" fontId="79" fillId="0" borderId="32" xfId="0" applyFont="1" applyBorder="1"/>
    <xf numFmtId="0" fontId="4" fillId="0" borderId="0" xfId="0" applyFont="1" applyAlignment="1">
      <alignment horizontal="center"/>
    </xf>
    <xf numFmtId="0" fontId="39" fillId="0" borderId="28" xfId="0" applyFont="1" applyBorder="1" applyAlignment="1">
      <alignment horizontal="center" vertical="center" wrapText="1"/>
    </xf>
    <xf numFmtId="0" fontId="39" fillId="0" borderId="32" xfId="0" applyFont="1" applyBorder="1" applyAlignment="1">
      <alignment horizontal="center" vertical="center" wrapText="1"/>
    </xf>
    <xf numFmtId="0" fontId="6" fillId="0" borderId="0" xfId="0" applyFont="1" applyAlignment="1">
      <alignment wrapText="1"/>
    </xf>
    <xf numFmtId="0" fontId="11" fillId="0" borderId="0" xfId="0" applyFont="1" applyAlignment="1">
      <alignment horizontal="center"/>
    </xf>
    <xf numFmtId="0" fontId="79" fillId="0" borderId="32" xfId="0" applyFont="1" applyBorder="1" applyAlignment="1">
      <alignment vertical="center"/>
    </xf>
    <xf numFmtId="0" fontId="38" fillId="0" borderId="54" xfId="0" applyFont="1" applyBorder="1" applyAlignment="1">
      <alignment horizontal="center" vertical="center" wrapText="1"/>
    </xf>
    <xf numFmtId="0" fontId="38" fillId="0" borderId="55" xfId="0" applyFont="1" applyBorder="1" applyAlignment="1">
      <alignment horizontal="center" vertical="center" wrapText="1"/>
    </xf>
    <xf numFmtId="0" fontId="38" fillId="0" borderId="58"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56" xfId="0" applyFont="1" applyBorder="1" applyAlignment="1">
      <alignment horizontal="center" vertical="center" wrapText="1"/>
    </xf>
    <xf numFmtId="0" fontId="38" fillId="0" borderId="57" xfId="0" applyFont="1" applyBorder="1" applyAlignment="1">
      <alignment horizontal="center" vertical="center" wrapText="1"/>
    </xf>
    <xf numFmtId="0" fontId="78" fillId="0" borderId="32" xfId="0" applyFont="1" applyBorder="1" applyAlignment="1">
      <alignment vertical="center"/>
    </xf>
    <xf numFmtId="0" fontId="39" fillId="0" borderId="32" xfId="0" applyFont="1" applyBorder="1" applyAlignment="1">
      <alignment horizontal="left" vertical="center"/>
    </xf>
    <xf numFmtId="0" fontId="4" fillId="0" borderId="0" xfId="0" applyFont="1" applyAlignment="1">
      <alignment horizontal="left" wrapText="1"/>
    </xf>
    <xf numFmtId="0" fontId="26" fillId="3" borderId="15" xfId="0" applyFont="1" applyFill="1" applyBorder="1" applyAlignment="1">
      <alignment horizontal="center" vertical="center"/>
    </xf>
    <xf numFmtId="0" fontId="39" fillId="0" borderId="58" xfId="0" applyFont="1" applyBorder="1" applyAlignment="1">
      <alignment horizontal="left" wrapText="1"/>
    </xf>
    <xf numFmtId="0" fontId="79" fillId="0" borderId="58" xfId="0" applyFont="1" applyBorder="1"/>
    <xf numFmtId="0" fontId="39" fillId="0" borderId="58" xfId="0" applyFont="1" applyBorder="1" applyAlignment="1">
      <alignment horizontal="left"/>
    </xf>
    <xf numFmtId="0" fontId="39" fillId="0" borderId="32" xfId="0" applyFont="1" applyBorder="1" applyAlignment="1">
      <alignment vertical="top" wrapText="1"/>
    </xf>
    <xf numFmtId="0" fontId="78" fillId="0" borderId="32" xfId="0" applyFont="1" applyBorder="1" applyAlignment="1">
      <alignment vertical="center" wrapText="1"/>
    </xf>
    <xf numFmtId="0" fontId="78" fillId="0" borderId="32" xfId="0" applyFont="1" applyBorder="1"/>
    <xf numFmtId="0" fontId="39" fillId="0" borderId="32" xfId="0" applyFont="1" applyBorder="1" applyAlignment="1">
      <alignment horizontal="left"/>
    </xf>
    <xf numFmtId="0" fontId="15" fillId="5" borderId="19" xfId="0" applyFont="1" applyFill="1" applyBorder="1" applyAlignment="1">
      <alignment horizontal="center" wrapText="1"/>
    </xf>
    <xf numFmtId="0" fontId="12" fillId="0" borderId="20" xfId="0" applyFont="1" applyBorder="1"/>
    <xf numFmtId="0" fontId="15" fillId="5" borderId="19" xfId="0" applyFont="1" applyFill="1" applyBorder="1" applyAlignment="1">
      <alignment horizontal="center"/>
    </xf>
    <xf numFmtId="0" fontId="39" fillId="0" borderId="32" xfId="0" applyFont="1" applyBorder="1" applyAlignment="1">
      <alignment vertical="center" wrapText="1"/>
    </xf>
    <xf numFmtId="0" fontId="39" fillId="0" borderId="32" xfId="0" applyFont="1" applyBorder="1" applyAlignment="1">
      <alignment horizontal="left" wrapText="1"/>
    </xf>
    <xf numFmtId="0" fontId="5" fillId="0" borderId="11" xfId="0" applyFont="1" applyBorder="1" applyAlignment="1">
      <alignment horizontal="center" vertical="center" wrapText="1"/>
    </xf>
    <xf numFmtId="0" fontId="15" fillId="5" borderId="28" xfId="0" applyFont="1" applyFill="1" applyBorder="1" applyAlignment="1">
      <alignment horizontal="center"/>
    </xf>
    <xf numFmtId="0" fontId="12" fillId="0" borderId="29" xfId="0" applyFont="1" applyBorder="1"/>
    <xf numFmtId="0" fontId="12" fillId="0" borderId="30" xfId="0" applyFont="1" applyBorder="1"/>
    <xf numFmtId="0" fontId="5" fillId="7" borderId="15" xfId="0" applyFont="1" applyFill="1" applyBorder="1" applyAlignment="1">
      <alignment horizontal="center"/>
    </xf>
    <xf numFmtId="0" fontId="39" fillId="0" borderId="34" xfId="0" applyFont="1" applyBorder="1" applyAlignment="1">
      <alignment horizontal="center" vertical="center" wrapText="1"/>
    </xf>
    <xf numFmtId="167" fontId="8" fillId="2" borderId="35" xfId="0" applyNumberFormat="1" applyFont="1" applyFill="1" applyBorder="1" applyAlignment="1">
      <alignment horizontal="center"/>
    </xf>
    <xf numFmtId="0" fontId="12" fillId="0" borderId="36" xfId="0" applyFont="1" applyBorder="1"/>
    <xf numFmtId="0" fontId="12" fillId="0" borderId="37" xfId="0" applyFont="1" applyBorder="1"/>
    <xf numFmtId="1" fontId="8" fillId="2" borderId="35" xfId="0" applyNumberFormat="1" applyFont="1" applyFill="1" applyBorder="1" applyAlignment="1">
      <alignment horizontal="center"/>
    </xf>
    <xf numFmtId="0" fontId="12" fillId="0" borderId="38" xfId="0" applyFont="1" applyBorder="1"/>
    <xf numFmtId="0" fontId="42" fillId="0" borderId="0" xfId="0" applyFont="1" applyAlignment="1">
      <alignment horizontal="left" vertical="center" wrapText="1"/>
    </xf>
    <xf numFmtId="0" fontId="81" fillId="0" borderId="0" xfId="0" applyFont="1" applyAlignment="1">
      <alignment vertical="center"/>
    </xf>
    <xf numFmtId="0" fontId="42" fillId="0" borderId="0" xfId="0" applyFont="1" applyAlignment="1">
      <alignment vertical="center" wrapText="1"/>
    </xf>
    <xf numFmtId="0" fontId="78" fillId="0" borderId="0" xfId="0" applyFont="1" applyAlignment="1">
      <alignment vertical="center"/>
    </xf>
    <xf numFmtId="167" fontId="76" fillId="0" borderId="0" xfId="0" applyNumberFormat="1" applyFont="1" applyAlignment="1">
      <alignment horizontal="center"/>
    </xf>
    <xf numFmtId="0" fontId="3" fillId="2" borderId="0" xfId="0" applyFont="1" applyFill="1" applyAlignment="1">
      <alignment horizontal="center" wrapText="1"/>
    </xf>
    <xf numFmtId="0" fontId="3" fillId="2" borderId="2" xfId="0" applyFont="1" applyFill="1" applyBorder="1" applyAlignment="1">
      <alignment horizontal="center" vertical="center" wrapText="1"/>
    </xf>
    <xf numFmtId="0" fontId="12" fillId="0" borderId="50" xfId="0" applyFont="1" applyBorder="1"/>
    <xf numFmtId="173" fontId="27" fillId="0" borderId="0" xfId="0" applyNumberFormat="1" applyFont="1" applyAlignment="1">
      <alignment horizontal="center"/>
    </xf>
    <xf numFmtId="0" fontId="82" fillId="0" borderId="58" xfId="0" applyFont="1" applyBorder="1" applyAlignment="1">
      <alignment horizontal="center"/>
    </xf>
    <xf numFmtId="0" fontId="6" fillId="0" borderId="28" xfId="0" applyFont="1" applyBorder="1"/>
    <xf numFmtId="174" fontId="27" fillId="0" borderId="47" xfId="0" applyNumberFormat="1" applyFont="1" applyBorder="1" applyAlignment="1">
      <alignment horizontal="right"/>
    </xf>
    <xf numFmtId="0" fontId="6" fillId="0" borderId="58" xfId="0" applyFont="1" applyBorder="1"/>
    <xf numFmtId="0" fontId="4" fillId="0" borderId="32" xfId="0" applyFont="1" applyBorder="1" applyAlignment="1">
      <alignment horizontal="center"/>
    </xf>
    <xf numFmtId="171" fontId="60" fillId="0" borderId="59" xfId="0" applyNumberFormat="1" applyFont="1" applyBorder="1"/>
    <xf numFmtId="10" fontId="27" fillId="0" borderId="59" xfId="0" applyNumberFormat="1" applyFont="1" applyBorder="1"/>
    <xf numFmtId="0" fontId="5" fillId="0" borderId="56" xfId="0" applyFont="1" applyBorder="1"/>
    <xf numFmtId="0" fontId="17" fillId="0" borderId="60" xfId="0" applyFont="1" applyBorder="1" applyAlignment="1">
      <alignment horizontal="center"/>
    </xf>
    <xf numFmtId="10" fontId="19" fillId="0" borderId="57" xfId="0" applyNumberFormat="1" applyFont="1" applyBorder="1"/>
    <xf numFmtId="0" fontId="1" fillId="0" borderId="0" xfId="0" applyFont="1"/>
    <xf numFmtId="0" fontId="82" fillId="0" borderId="0" xfId="0" applyFont="1" applyAlignment="1">
      <alignment vertical="center"/>
    </xf>
    <xf numFmtId="0" fontId="6" fillId="0" borderId="32" xfId="0" applyFont="1" applyFill="1" applyBorder="1" applyAlignment="1"/>
    <xf numFmtId="0" fontId="5" fillId="0" borderId="40" xfId="0" applyFont="1" applyFill="1" applyBorder="1" applyAlignment="1">
      <alignment wrapText="1"/>
    </xf>
    <xf numFmtId="10" fontId="17" fillId="0" borderId="46" xfId="0" applyNumberFormat="1" applyFont="1" applyFill="1" applyBorder="1" applyAlignment="1">
      <alignment horizontal="center"/>
    </xf>
    <xf numFmtId="0" fontId="2" fillId="0" borderId="28" xfId="0" applyFont="1" applyBorder="1"/>
    <xf numFmtId="0" fontId="2" fillId="0" borderId="47" xfId="0" applyFont="1" applyBorder="1" applyAlignment="1">
      <alignment vertical="center"/>
    </xf>
    <xf numFmtId="2" fontId="6" fillId="0" borderId="58" xfId="0" applyNumberFormat="1" applyFont="1" applyBorder="1" applyAlignment="1">
      <alignment horizontal="center" vertical="center"/>
    </xf>
    <xf numFmtId="174" fontId="5" fillId="0" borderId="13" xfId="0" applyNumberFormat="1" applyFont="1" applyBorder="1" applyAlignment="1">
      <alignment horizontal="center"/>
    </xf>
    <xf numFmtId="180" fontId="5" fillId="0" borderId="58" xfId="0" applyNumberFormat="1" applyFont="1" applyBorder="1" applyAlignment="1">
      <alignment horizontal="center" vertical="center"/>
    </xf>
    <xf numFmtId="0" fontId="12" fillId="0" borderId="28" xfId="0" applyFont="1" applyBorder="1"/>
    <xf numFmtId="0" fontId="12" fillId="0" borderId="47" xfId="0" applyFont="1" applyBorder="1"/>
    <xf numFmtId="10" fontId="39" fillId="0" borderId="0" xfId="0" applyNumberFormat="1" applyFont="1" applyAlignment="1">
      <alignment horizontal="center" vertical="center"/>
    </xf>
    <xf numFmtId="0" fontId="2" fillId="0" borderId="58" xfId="0" applyFont="1" applyBorder="1" applyAlignment="1">
      <alignment vertical="center"/>
    </xf>
    <xf numFmtId="10" fontId="5" fillId="0" borderId="0" xfId="2" applyNumberFormat="1" applyFont="1" applyAlignment="1">
      <alignment horizontal="center" vertical="center"/>
    </xf>
    <xf numFmtId="10" fontId="5" fillId="0" borderId="61" xfId="2" applyNumberFormat="1" applyFont="1" applyBorder="1" applyAlignment="1">
      <alignment horizontal="center" vertical="center"/>
    </xf>
    <xf numFmtId="165" fontId="15" fillId="0" borderId="9" xfId="0" applyNumberFormat="1" applyFont="1" applyBorder="1" applyAlignment="1">
      <alignment horizontal="center"/>
    </xf>
    <xf numFmtId="165" fontId="86" fillId="0" borderId="10" xfId="0" applyNumberFormat="1" applyFont="1" applyBorder="1" applyAlignment="1">
      <alignment horizontal="center"/>
    </xf>
    <xf numFmtId="10" fontId="39" fillId="0" borderId="58" xfId="0" applyNumberFormat="1" applyFont="1" applyBorder="1" applyAlignment="1">
      <alignment horizontal="center" vertical="center"/>
    </xf>
    <xf numFmtId="166" fontId="6" fillId="0" borderId="58" xfId="0" applyNumberFormat="1" applyFont="1" applyBorder="1" applyAlignment="1">
      <alignment horizontal="center" vertical="center"/>
    </xf>
    <xf numFmtId="171" fontId="6" fillId="0" borderId="58" xfId="0" applyNumberFormat="1" applyFont="1" applyBorder="1" applyAlignment="1">
      <alignment horizontal="center" vertical="center"/>
    </xf>
    <xf numFmtId="166" fontId="5" fillId="0" borderId="58" xfId="0" applyNumberFormat="1" applyFont="1" applyBorder="1" applyAlignment="1">
      <alignment horizontal="center" vertical="center"/>
    </xf>
    <xf numFmtId="166" fontId="2" fillId="0" borderId="58" xfId="0" applyNumberFormat="1" applyFont="1" applyBorder="1" applyAlignment="1">
      <alignment vertical="center"/>
    </xf>
    <xf numFmtId="164" fontId="2" fillId="0" borderId="58" xfId="0" applyNumberFormat="1" applyFont="1" applyBorder="1" applyAlignment="1">
      <alignment vertical="center"/>
    </xf>
    <xf numFmtId="164" fontId="5" fillId="0" borderId="58" xfId="0" applyNumberFormat="1" applyFont="1" applyBorder="1" applyAlignment="1">
      <alignment horizontal="center" vertical="center"/>
    </xf>
    <xf numFmtId="164" fontId="6" fillId="0" borderId="58" xfId="0" applyNumberFormat="1" applyFont="1" applyBorder="1" applyAlignment="1">
      <alignment horizontal="center" vertical="center"/>
    </xf>
    <xf numFmtId="0" fontId="5" fillId="0" borderId="32" xfId="0" applyFont="1" applyBorder="1" applyAlignment="1">
      <alignment horizontal="center" wrapText="1"/>
    </xf>
    <xf numFmtId="9" fontId="62" fillId="0" borderId="32" xfId="2" applyFont="1" applyBorder="1"/>
    <xf numFmtId="165" fontId="5" fillId="0" borderId="32" xfId="0" applyNumberFormat="1" applyFont="1" applyBorder="1" applyAlignment="1">
      <alignment horizontal="center"/>
    </xf>
    <xf numFmtId="3" fontId="5" fillId="0" borderId="32" xfId="0" applyNumberFormat="1" applyFont="1" applyBorder="1" applyAlignment="1">
      <alignment horizontal="center"/>
    </xf>
    <xf numFmtId="3" fontId="6" fillId="0" borderId="32" xfId="0" applyNumberFormat="1" applyFont="1" applyBorder="1" applyAlignment="1">
      <alignment horizontal="center"/>
    </xf>
    <xf numFmtId="167" fontId="6" fillId="0" borderId="32" xfId="0" applyNumberFormat="1" applyFont="1" applyBorder="1" applyAlignment="1">
      <alignment horizontal="center"/>
    </xf>
    <xf numFmtId="0" fontId="14" fillId="2" borderId="1" xfId="0" applyFont="1" applyFill="1" applyBorder="1" applyAlignment="1">
      <alignment horizontal="center" vertical="center"/>
    </xf>
    <xf numFmtId="0" fontId="79" fillId="0" borderId="32" xfId="0" applyFont="1" applyBorder="1" applyAlignment="1"/>
    <xf numFmtId="0" fontId="39" fillId="0" borderId="32" xfId="0" applyFont="1" applyBorder="1" applyAlignment="1"/>
    <xf numFmtId="0" fontId="3" fillId="11" borderId="41" xfId="0" applyFont="1" applyFill="1" applyBorder="1" applyAlignment="1"/>
    <xf numFmtId="174" fontId="19" fillId="0" borderId="14" xfId="0" applyNumberFormat="1" applyFont="1" applyBorder="1" applyAlignment="1">
      <alignment vertical="center"/>
    </xf>
    <xf numFmtId="0" fontId="5" fillId="0" borderId="10" xfId="0" applyFont="1" applyBorder="1" applyAlignment="1">
      <alignment vertical="center"/>
    </xf>
    <xf numFmtId="174" fontId="27" fillId="0" borderId="18" xfId="0" applyNumberFormat="1" applyFont="1" applyBorder="1" applyAlignment="1">
      <alignment horizontal="right"/>
    </xf>
    <xf numFmtId="174" fontId="27" fillId="0" borderId="0" xfId="0" applyNumberFormat="1" applyFont="1" applyAlignment="1">
      <alignment horizontal="right"/>
    </xf>
    <xf numFmtId="2" fontId="27" fillId="0" borderId="9" xfId="0" applyNumberFormat="1" applyFont="1" applyBorder="1" applyAlignment="1">
      <alignment horizontal="right"/>
    </xf>
    <xf numFmtId="0" fontId="0" fillId="0" borderId="0" xfId="0" applyAlignment="1"/>
    <xf numFmtId="0" fontId="17" fillId="0" borderId="0" xfId="0" applyFont="1" applyAlignment="1"/>
    <xf numFmtId="165" fontId="87" fillId="0" borderId="0" xfId="0" applyNumberFormat="1" applyFont="1" applyAlignment="1">
      <alignment horizontal="center"/>
    </xf>
    <xf numFmtId="43" fontId="4" fillId="0" borderId="0" xfId="1" applyFont="1" applyAlignment="1">
      <alignment horizontal="center"/>
    </xf>
    <xf numFmtId="10" fontId="4" fillId="0" borderId="0" xfId="2" applyNumberFormat="1" applyFont="1" applyAlignment="1">
      <alignment horizontal="left"/>
    </xf>
    <xf numFmtId="167" fontId="3" fillId="2" borderId="32" xfId="0" applyNumberFormat="1" applyFont="1" applyFill="1" applyBorder="1" applyAlignment="1">
      <alignment horizontal="center" vertical="center"/>
    </xf>
  </cellXfs>
  <cellStyles count="3">
    <cellStyle name="Comma" xfId="1" builtinId="3"/>
    <cellStyle name="Normal" xfId="0" builtinId="0"/>
    <cellStyle name="Percent" xfId="2" builtinId="5"/>
  </cellStyles>
  <dxfs count="15">
    <dxf>
      <font>
        <color rgb="FF006100"/>
      </font>
      <fill>
        <patternFill>
          <bgColor rgb="FFC6EFCE"/>
        </patternFill>
      </fill>
    </dxf>
    <dxf>
      <font>
        <color rgb="FF9C0006"/>
      </font>
      <fill>
        <patternFill>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ill>
        <patternFill patternType="solid">
          <fgColor rgb="FFEA4335"/>
          <bgColor rgb="FFEA4335"/>
        </patternFill>
      </fill>
    </dxf>
    <dxf>
      <fill>
        <patternFill patternType="solid">
          <fgColor theme="5"/>
          <bgColor theme="5"/>
        </patternFill>
      </fill>
    </dxf>
    <dxf>
      <fill>
        <patternFill patternType="solid">
          <fgColor theme="5"/>
          <bgColor theme="5"/>
        </patternFill>
      </fill>
    </dxf>
    <dxf>
      <font>
        <color rgb="FF006100"/>
      </font>
      <fill>
        <patternFill>
          <bgColor rgb="FFC6EFCE"/>
        </patternFill>
      </fill>
    </dxf>
    <dxf>
      <font>
        <color rgb="FF9C0006"/>
      </font>
      <fill>
        <patternFill>
          <bgColor rgb="FFFFC7CE"/>
        </patternFill>
      </fill>
    </dxf>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
      <border>
        <left style="thin">
          <color theme="0"/>
        </left>
        <right style="thin">
          <color theme="0"/>
        </right>
        <top style="thin">
          <color theme="0"/>
        </top>
        <bottom style="thin">
          <color theme="0"/>
        </bottom>
      </border>
    </dxf>
  </dxfs>
  <tableStyles count="1">
    <tableStyle name="ERPs by Country-style" pivot="0" count="4" xr9:uid="{00000000-0011-0000-FFFF-FFFF00000000}">
      <tableStyleElement type="wholeTable" size="0" dxfId="14"/>
      <tableStyleElement type="headerRow" dxfId="13"/>
      <tableStyleElement type="firstRowStripe" dxfId="12"/>
      <tableStyleElement type="second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7" Type="http://schemas.openxmlformats.org/officeDocument/2006/relationships/styles" Target="styles.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SupportingPropertyBag" Target="richData/rdsupportingpropertybag.xml"/><Relationship Id="rId5" Type="http://schemas.openxmlformats.org/officeDocument/2006/relationships/worksheet" Target="worksheets/sheet5.xml"/><Relationship Id="rId15" Type="http://customschemas.google.com/relationships/workbookmetadata" Target="metadata"/><Relationship Id="rId23" Type="http://schemas.microsoft.com/office/2017/06/relationships/rdSupportingPropertyBagStructure" Target="richData/rdsupportingpropertybagstructure.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22" Type="http://schemas.microsoft.com/office/2017/06/relationships/richStyles" Target="richData/rich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95250</xdr:colOff>
      <xdr:row>49</xdr:row>
      <xdr:rowOff>133350</xdr:rowOff>
    </xdr:from>
    <xdr:ext cx="4210050" cy="2343150"/>
    <xdr:pic>
      <xdr:nvPicPr>
        <xdr:cNvPr id="2" name="image2.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95250</xdr:colOff>
      <xdr:row>37</xdr:row>
      <xdr:rowOff>38100</xdr:rowOff>
    </xdr:from>
    <xdr:ext cx="4324350" cy="2400300"/>
    <xdr:pic>
      <xdr:nvPicPr>
        <xdr:cNvPr id="3" name="image3.png" title="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20</xdr:col>
      <xdr:colOff>95250</xdr:colOff>
      <xdr:row>61</xdr:row>
      <xdr:rowOff>171450</xdr:rowOff>
    </xdr:from>
    <xdr:ext cx="4210050" cy="1076325"/>
    <xdr:pic>
      <xdr:nvPicPr>
        <xdr:cNvPr id="4" name="image1.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3">
  <rv s="0">
    <v>https://www.bing.com/financeapi/forcetrigger?t=r6dwra&amp;q=US10Y&amp;form=skydnc</v>
    <v>Learn more on Bing</v>
  </rv>
  <rv s="1">
    <v>en-US</v>
    <v>r6dwra</v>
    <v>268435456</v>
    <v>1</v>
    <v>Powered by Refinitiv</v>
    <v>0</v>
    <v>US Treasury 10Y</v>
    <v>2</v>
    <v>3</v>
    <v>Finance</v>
    <v>4</v>
    <v>3.4299999999999997E-2</v>
    <v>7.3640000000000008E-3</v>
    <v>US</v>
    <v>USD</v>
    <v>Bond</v>
    <v>46244.645740740743</v>
    <v>0</v>
    <v>49810</v>
    <v>US Treasury 10Y</v>
    <v>4.6580000000000004</v>
    <v>4.6923000000000004</v>
    <v>US10Y</v>
    <v>US Treasury 10Y</v>
    <v>4.5612000000000007E-2</v>
    <v>4.684E-2</v>
    <v>4.2849000000000005E-2</v>
    <v>4.6580000000000003E-2</v>
  </rv>
  <rv s="2">
    <v>1</v>
  </rv>
</rvData>
</file>

<file path=xl/richData/rdrichvaluestructure.xml><?xml version="1.0" encoding="utf-8"?>
<rvStructures xmlns="http://schemas.microsoft.com/office/spreadsheetml/2017/richdata" count="3">
  <s t="_hyperlink">
    <k n="Address" t="s"/>
    <k n="Text" t="s"/>
  </s>
  <s t="_linkedentitycore">
    <k n="%EntityCulture" t="s"/>
    <k n="%EntityId" t="s"/>
    <k n="%EntityServiceId"/>
    <k n="%IsRefreshable" t="b"/>
    <k n="%ProviderInfo" t="s"/>
    <k n="_Display" t="spb"/>
    <k n="_DisplayString" t="s"/>
    <k n="_Flags" t="spb"/>
    <k n="_Format" t="spb"/>
    <k n="_Icon" t="s"/>
    <k n="_SubLabel" t="spb"/>
    <k n="Change"/>
    <k n="Change (%)"/>
    <k n="Country/region" t="s"/>
    <k n="Currency" t="s"/>
    <k n="Instrument type" t="s"/>
    <k n="Last trade time"/>
    <k n="LearnMoreOnLink" t="r"/>
    <k n="Maturity"/>
    <k n="Name" t="s"/>
    <k n="Previous close"/>
    <k n="Price"/>
    <k n="Ticker symbol" t="s"/>
    <k n="UniqueName" t="s"/>
    <k n="Yield last month"/>
    <k n="Yield last week"/>
    <k n="Yield last year"/>
    <k n="Yield yesterday"/>
  </s>
  <s t="_linkedentity">
    <k n="%cvi" t="r"/>
  </s>
</rvStructures>
</file>

<file path=xl/richData/rdsupportingpropertybag.xml><?xml version="1.0" encoding="utf-8"?>
<supportingPropertyBags xmlns="http://schemas.microsoft.com/office/spreadsheetml/2017/richdata2">
  <spbArrays count="1">
    <a count="28">
      <v t="s">%EntityServiceId</v>
      <v t="s">_Format</v>
      <v t="s">%IsRefreshable</v>
      <v t="s">%EntityCulture</v>
      <v t="s">%EntityId</v>
      <v t="s">_Icon</v>
      <v t="s">_Display</v>
      <v t="s">Name</v>
      <v t="s">Price</v>
      <v t="s">_SubLabel</v>
      <v t="s">Last trade time</v>
      <v t="s">Ticker symbol</v>
      <v t="s">Change</v>
      <v t="s">Change (%)</v>
      <v t="s">Currency</v>
      <v t="s">Previous close</v>
      <v t="s">Yield yesterday</v>
      <v t="s">Yield last week</v>
      <v t="s">Yield last month</v>
      <v t="s">Yield last year</v>
      <v t="s">Maturity</v>
      <v t="s">Country/region</v>
      <v t="s">Instrument type</v>
      <v t="s">_Flags</v>
      <v t="s">UniqueName</v>
      <v t="s">_DisplayString</v>
      <v t="s">LearnMoreOnLink</v>
      <v t="s">%ProviderInfo</v>
    </a>
  </spbArrays>
  <spbData count="5">
    <spb s="0">
      <v>0</v>
      <v>Name</v>
      <v>LearnMoreOnLink</v>
    </spb>
    <spb s="1">
      <v>0</v>
      <v>0</v>
      <v>0</v>
    </spb>
    <spb s="2">
      <v>1</v>
      <v>1</v>
      <v>1</v>
    </spb>
    <spb s="3">
      <v>1</v>
      <v>2</v>
      <v>2</v>
      <v>3</v>
      <v>4</v>
      <v>2</v>
      <v>5</v>
      <v>4</v>
      <v>4</v>
      <v>4</v>
      <v>4</v>
      <v>6</v>
    </spb>
    <spb s="4">
      <v>GMT</v>
    </spb>
  </spbData>
</supportingPropertyBags>
</file>

<file path=xl/richData/rdsupportingpropertybagstructure.xml><?xml version="1.0" encoding="utf-8"?>
<spbStructures xmlns="http://schemas.microsoft.com/office/spreadsheetml/2017/richdata2" count="5">
  <s>
    <k n="^Order" t="spba"/>
    <k n="TitleProperty" t="s"/>
    <k n="SubTitleProperty" t="s"/>
  </s>
  <s>
    <k n="ShowInCardView" t="b"/>
    <k n="ShowInDotNotation" t="b"/>
    <k n="ShowInAutoComplete" t="b"/>
  </s>
  <s>
    <k n="UniqueName" t="spb"/>
    <k n="`%ProviderInfo" t="spb"/>
    <k n="LearnMoreOnLink" t="spb"/>
  </s>
  <s>
    <k n="Name" t="i"/>
    <k n="Price" t="i"/>
    <k n="Change" t="i"/>
    <k n="Maturity" t="i"/>
    <k n="Change (%)" t="i"/>
    <k n="Previous close" t="i"/>
    <k n="Last trade time" t="i"/>
    <k n="Yield last week" t="i"/>
    <k n="Yield last year" t="i"/>
    <k n="Yield yesterday" t="i"/>
    <k n="Yield last month" t="i"/>
    <k n="`%EntityServiceId" t="i"/>
  </s>
  <s>
    <k n="Last trade ti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5">
    <x:dxf>
      <x:numFmt numFmtId="2" formatCode="0.00"/>
    </x:dxf>
    <x:dxf>
      <x:numFmt numFmtId="0" formatCode="General"/>
    </x:dxf>
    <x:dxf>
      <x:numFmt numFmtId="27" formatCode="m/d/yyyy\ h:mm"/>
    </x:dxf>
    <x:dxf>
      <x:numFmt numFmtId="14" formatCode="0.00%"/>
    </x:dxf>
    <x:dxf>
      <x:numFmt numFmtId="19" formatCode="m/d/yyyy"/>
    </x:dxf>
  </dxfs>
  <richProperties>
    <rPr n="IsTitleField" t="b"/>
    <rPr n="NumberFormat" t="s"/>
  </richProperties>
  <richStyles>
    <rSty>
      <rpv i="0">1</rpv>
    </rSty>
    <rSty dxfid="1">
      <rpv i="1">_([$$-en-US]* #,##0.00_);_([$$-en-US]* (#,##0.00);_([$$-en-US]* "-"??_);_(@_)</rpv>
    </rSty>
    <rSty dxfid="4"/>
    <rSty dxfid="3"/>
    <rSty dxfid="2"/>
    <rSty dxfid="0">
      <rpv i="1">0.00</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I163">
  <tableColumns count="9">
    <tableColumn id="1" xr3:uid="{00000000-0010-0000-0000-000001000000}" name="Country"/>
    <tableColumn id="2" xr3:uid="{00000000-0010-0000-0000-000002000000}" name="Africa"/>
    <tableColumn id="3" xr3:uid="{00000000-0010-0000-0000-000003000000}" name="Moody's rating"/>
    <tableColumn id="4" xr3:uid="{00000000-0010-0000-0000-000004000000}" name="Rating-based Default Spread"/>
    <tableColumn id="5" xr3:uid="{00000000-0010-0000-0000-000005000000}" name="Total Equity Risk Premium"/>
    <tableColumn id="6" xr3:uid="{00000000-0010-0000-0000-000006000000}" name="Country Risk Premium"/>
    <tableColumn id="7" xr3:uid="{00000000-0010-0000-0000-000007000000}" name="Sovereign CDS, net of Swiss CDS"/>
    <tableColumn id="8" xr3:uid="{00000000-0010-0000-0000-000008000000}" name="Total Equity Risk Premium2"/>
    <tableColumn id="9" xr3:uid="{00000000-0010-0000-0000-000009000000}" name="Country Risk Premium3"/>
  </tableColumns>
  <tableStyleInfo name="ERPs by Count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pages.stern.nyu.edu/~adamodar/pc/datasets/ctrypremJuly26.xlsx"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hyperlink" Target="https://www.delloro.com/news/worldwide-telecom-capex-to-decline-in-2026/" TargetMode="External"/><Relationship Id="rId1" Type="http://schemas.openxmlformats.org/officeDocument/2006/relationships/hyperlink" Target="https://telecomanalysis.net/2025/08/04/navigating-the-future-of-telecom-capex-western-europes-telecom-investment-2024-to-2030/" TargetMode="External"/></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hyperlink" Target="https://www.centralbankbahamas.com/news/bahamas-registered-stock-ipo-s/bahamas-registered-stock-results-14-july-2026?N=N" TargetMode="External"/><Relationship Id="rId2" Type="http://schemas.openxmlformats.org/officeDocument/2006/relationships/hyperlink" Target="https://www.theglobaleconomy.com/Bahamas/inflation_outlook_imf/" TargetMode="External"/><Relationship Id="rId1" Type="http://schemas.openxmlformats.org/officeDocument/2006/relationships/hyperlink" Target="https://www.imf.org/en/news/articles/2025/12/12/cs-the-bahamas-staff-concluding-statement-of-the-2025-article-iv-mission" TargetMode="External"/><Relationship Id="rId6" Type="http://schemas.openxmlformats.org/officeDocument/2006/relationships/printerSettings" Target="../printerSettings/printerSettings1.bin"/><Relationship Id="rId5" Type="http://schemas.openxmlformats.org/officeDocument/2006/relationships/hyperlink" Target="https://pages.stern.nyu.edu/~adamodar/New_Home_Page/datafile/ratings.html" TargetMode="External"/><Relationship Id="rId4" Type="http://schemas.openxmlformats.org/officeDocument/2006/relationships/hyperlink" Target="https://pages.stern.nyu.edu/~adamod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opLeftCell="A6" workbookViewId="0">
      <selection activeCell="B33" sqref="B33"/>
    </sheetView>
  </sheetViews>
  <sheetFormatPr defaultColWidth="10.1796875" defaultRowHeight="15" customHeight="1"/>
  <cols>
    <col min="1" max="1" width="2" customWidth="1"/>
    <col min="2" max="2" width="31.453125" customWidth="1"/>
    <col min="3" max="12" width="13" customWidth="1"/>
  </cols>
  <sheetData>
    <row r="1" spans="1:26" ht="15" customHeight="1">
      <c r="A1" s="1"/>
      <c r="B1" s="2" t="s">
        <v>0</v>
      </c>
      <c r="C1" s="3"/>
      <c r="D1" s="3"/>
      <c r="E1" s="3"/>
      <c r="F1" s="3"/>
      <c r="G1" s="3"/>
      <c r="H1" s="3"/>
      <c r="I1" s="3"/>
      <c r="J1" s="3"/>
      <c r="K1" s="3"/>
      <c r="L1" s="3"/>
      <c r="M1" s="4"/>
      <c r="N1" s="4"/>
      <c r="O1" s="4"/>
      <c r="P1" s="4"/>
      <c r="Q1" s="4"/>
      <c r="R1" s="4"/>
      <c r="S1" s="4"/>
      <c r="T1" s="4"/>
      <c r="U1" s="4"/>
      <c r="V1" s="4"/>
      <c r="W1" s="4"/>
      <c r="X1" s="4"/>
      <c r="Y1" s="4"/>
      <c r="Z1" s="4"/>
    </row>
    <row r="2" spans="1:26" ht="15.6">
      <c r="A2" s="4"/>
      <c r="B2" s="5" t="s">
        <v>1</v>
      </c>
      <c r="C2" s="4"/>
      <c r="D2" s="4"/>
      <c r="E2" s="4"/>
      <c r="F2" s="4"/>
      <c r="G2" s="4"/>
      <c r="H2" s="4"/>
      <c r="I2" s="4"/>
      <c r="J2" s="4"/>
      <c r="K2" s="4"/>
      <c r="L2" s="4"/>
      <c r="M2" s="4"/>
      <c r="N2" s="4"/>
      <c r="O2" s="4"/>
      <c r="P2" s="4"/>
      <c r="Q2" s="4"/>
      <c r="R2" s="4"/>
      <c r="S2" s="4"/>
      <c r="T2" s="4"/>
      <c r="U2" s="4"/>
      <c r="V2" s="4"/>
      <c r="W2" s="4"/>
      <c r="X2" s="4"/>
      <c r="Y2" s="4"/>
      <c r="Z2" s="4"/>
    </row>
    <row r="3" spans="1:26">
      <c r="A3" s="4"/>
      <c r="B3" s="4"/>
      <c r="C3" s="4"/>
      <c r="D3" s="4"/>
      <c r="E3" s="4"/>
      <c r="F3" s="4"/>
      <c r="G3" s="4"/>
      <c r="H3" s="4"/>
      <c r="I3" s="4"/>
      <c r="J3" s="4"/>
      <c r="K3" s="4"/>
      <c r="L3" s="4"/>
      <c r="M3" s="4"/>
      <c r="N3" s="4"/>
      <c r="O3" s="4"/>
      <c r="P3" s="4"/>
      <c r="Q3" s="4"/>
      <c r="R3" s="4"/>
      <c r="S3" s="4"/>
      <c r="T3" s="4"/>
      <c r="U3" s="4"/>
      <c r="V3" s="4"/>
      <c r="W3" s="4"/>
      <c r="X3" s="4"/>
      <c r="Y3" s="4"/>
      <c r="Z3" s="4"/>
    </row>
    <row r="4" spans="1:26" ht="15" customHeight="1">
      <c r="A4" s="1"/>
      <c r="B4" s="2" t="s">
        <v>2</v>
      </c>
      <c r="C4" s="3"/>
      <c r="D4" s="3"/>
      <c r="E4" s="3"/>
      <c r="F4" s="3"/>
      <c r="G4" s="3"/>
      <c r="H4" s="3"/>
      <c r="I4" s="3"/>
      <c r="J4" s="3"/>
      <c r="K4" s="3"/>
      <c r="L4" s="3"/>
      <c r="M4" s="4"/>
      <c r="N4" s="4"/>
      <c r="O4" s="4"/>
      <c r="P4" s="4"/>
      <c r="Q4" s="4"/>
      <c r="R4" s="4"/>
      <c r="S4" s="4"/>
      <c r="T4" s="4"/>
      <c r="U4" s="4"/>
      <c r="V4" s="4"/>
      <c r="W4" s="4"/>
      <c r="X4" s="4"/>
      <c r="Y4" s="4"/>
      <c r="Z4" s="4"/>
    </row>
    <row r="5" spans="1:26">
      <c r="A5" s="4"/>
      <c r="B5" s="4"/>
      <c r="C5" s="687" t="s">
        <v>3</v>
      </c>
      <c r="D5" s="687" t="s">
        <v>4</v>
      </c>
      <c r="E5" s="6"/>
      <c r="F5" s="4"/>
      <c r="G5" s="4"/>
      <c r="H5" s="4"/>
      <c r="I5" s="4"/>
      <c r="J5" s="4"/>
      <c r="K5" s="4"/>
      <c r="L5" s="4"/>
      <c r="M5" s="4"/>
      <c r="N5" s="4"/>
      <c r="O5" s="4"/>
      <c r="P5" s="4"/>
      <c r="Q5" s="4"/>
      <c r="R5" s="4"/>
      <c r="S5" s="4"/>
      <c r="T5" s="4"/>
      <c r="U5" s="4"/>
      <c r="V5" s="4"/>
      <c r="W5" s="4"/>
      <c r="X5" s="4"/>
      <c r="Y5" s="4"/>
      <c r="Z5" s="4"/>
    </row>
    <row r="6" spans="1:26" ht="15" customHeight="1">
      <c r="A6" s="4"/>
      <c r="B6" s="4"/>
      <c r="C6" s="687"/>
      <c r="D6" s="687"/>
      <c r="E6" s="4"/>
      <c r="F6" s="4"/>
      <c r="G6" s="4"/>
      <c r="H6" s="4"/>
      <c r="I6" s="4"/>
      <c r="J6" s="4"/>
      <c r="K6" s="4"/>
      <c r="L6" s="4"/>
      <c r="M6" s="4"/>
      <c r="N6" s="4"/>
      <c r="O6" s="4"/>
      <c r="P6" s="4"/>
      <c r="Q6" s="4"/>
      <c r="R6" s="4"/>
      <c r="S6" s="4"/>
      <c r="T6" s="4"/>
      <c r="U6" s="4"/>
      <c r="V6" s="4"/>
      <c r="W6" s="4"/>
      <c r="X6" s="4"/>
      <c r="Y6" s="4"/>
      <c r="Z6" s="4"/>
    </row>
    <row r="7" spans="1:26">
      <c r="A7" s="4"/>
      <c r="B7" s="7" t="s">
        <v>5</v>
      </c>
      <c r="C7" s="8">
        <f ca="1">DCF!D113</f>
        <v>0.1841988555136706</v>
      </c>
      <c r="D7" s="8">
        <f>DCF!E113</f>
        <v>0.14055885551367062</v>
      </c>
      <c r="E7" s="4"/>
      <c r="F7" s="4"/>
      <c r="G7" s="4"/>
      <c r="H7" s="4"/>
      <c r="I7" s="4"/>
      <c r="J7" s="4"/>
      <c r="K7" s="4"/>
      <c r="L7" s="4"/>
      <c r="M7" s="4"/>
      <c r="N7" s="4"/>
      <c r="O7" s="4"/>
      <c r="P7" s="4"/>
      <c r="Q7" s="4"/>
      <c r="R7" s="4"/>
      <c r="S7" s="4"/>
      <c r="T7" s="4"/>
      <c r="U7" s="4"/>
      <c r="V7" s="4"/>
      <c r="W7" s="4"/>
      <c r="X7" s="4"/>
      <c r="Y7" s="4"/>
      <c r="Z7" s="4"/>
    </row>
    <row r="8" spans="1:26" ht="15" customHeight="1">
      <c r="A8" s="4"/>
      <c r="B8" s="9" t="s">
        <v>6</v>
      </c>
      <c r="C8" s="10">
        <f ca="1">DCF!D134</f>
        <v>8.4305301515197062</v>
      </c>
      <c r="D8" s="10">
        <f>DCF!E134</f>
        <v>12.32349606121182</v>
      </c>
      <c r="E8" s="4"/>
      <c r="F8" s="4"/>
      <c r="G8" s="4"/>
      <c r="H8" s="4"/>
      <c r="I8" s="4"/>
      <c r="J8" s="4"/>
      <c r="K8" s="4"/>
      <c r="L8" s="4"/>
      <c r="M8" s="4"/>
      <c r="N8" s="4"/>
      <c r="O8" s="4"/>
      <c r="P8" s="4"/>
      <c r="Q8" s="4"/>
      <c r="R8" s="4"/>
      <c r="S8" s="4"/>
      <c r="T8" s="4"/>
      <c r="U8" s="4"/>
      <c r="V8" s="4"/>
      <c r="W8" s="4"/>
      <c r="X8" s="4"/>
      <c r="Y8" s="4"/>
      <c r="Z8" s="4"/>
    </row>
    <row r="9" spans="1:26">
      <c r="A9" s="4"/>
      <c r="B9" s="7" t="s">
        <v>7</v>
      </c>
      <c r="C9" s="11">
        <f>DCF!D135</f>
        <v>3.78</v>
      </c>
      <c r="D9" s="11">
        <f>DCF!E135</f>
        <v>3.78</v>
      </c>
      <c r="E9" s="4"/>
      <c r="F9" s="4"/>
      <c r="G9" s="4"/>
      <c r="H9" s="4"/>
      <c r="I9" s="4"/>
      <c r="J9" s="4"/>
      <c r="K9" s="4"/>
      <c r="L9" s="4"/>
      <c r="M9" s="4"/>
      <c r="N9" s="4"/>
      <c r="O9" s="4"/>
      <c r="P9" s="4"/>
      <c r="Q9" s="4"/>
      <c r="R9" s="4"/>
      <c r="S9" s="4"/>
      <c r="T9" s="4"/>
      <c r="U9" s="4"/>
      <c r="V9" s="4"/>
      <c r="W9" s="4"/>
      <c r="X9" s="4"/>
      <c r="Y9" s="4"/>
      <c r="Z9" s="4"/>
    </row>
    <row r="10" spans="1:26" ht="15" customHeight="1">
      <c r="A10" s="4"/>
      <c r="B10" s="9" t="s">
        <v>8</v>
      </c>
      <c r="C10" s="704">
        <f ca="1">DCF!D136</f>
        <v>1.2302989818835202</v>
      </c>
      <c r="D10" s="704">
        <f>DCF!E136</f>
        <v>2.2601841431777303</v>
      </c>
      <c r="E10" s="4"/>
      <c r="F10" s="4"/>
      <c r="G10" s="4"/>
      <c r="H10" s="4"/>
      <c r="I10" s="4"/>
      <c r="J10" s="4"/>
      <c r="K10" s="4"/>
      <c r="L10" s="4"/>
      <c r="M10" s="4"/>
      <c r="N10" s="4"/>
      <c r="O10" s="4"/>
      <c r="P10" s="4"/>
      <c r="Q10" s="4"/>
      <c r="R10" s="4"/>
      <c r="S10" s="4"/>
      <c r="T10" s="4"/>
      <c r="U10" s="4"/>
      <c r="V10" s="4"/>
      <c r="W10" s="4"/>
      <c r="X10" s="4"/>
      <c r="Y10" s="4"/>
      <c r="Z10" s="4"/>
    </row>
    <row r="11" spans="1:26">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15" customHeight="1">
      <c r="A12" s="1"/>
      <c r="B12" s="2" t="s">
        <v>9</v>
      </c>
      <c r="C12" s="3"/>
      <c r="D12" s="3"/>
      <c r="E12" s="3"/>
      <c r="F12" s="3"/>
      <c r="G12" s="3"/>
      <c r="H12" s="3"/>
      <c r="I12" s="3"/>
      <c r="J12" s="3"/>
      <c r="K12" s="3"/>
      <c r="L12" s="3"/>
      <c r="M12" s="4"/>
      <c r="N12" s="4"/>
      <c r="O12" s="4"/>
      <c r="P12" s="4"/>
      <c r="Q12" s="4"/>
      <c r="R12" s="4"/>
      <c r="S12" s="4"/>
      <c r="T12" s="4"/>
      <c r="U12" s="4"/>
      <c r="V12" s="4"/>
      <c r="W12" s="4"/>
      <c r="X12" s="4"/>
      <c r="Y12" s="4"/>
      <c r="Z12" s="4"/>
    </row>
    <row r="13" spans="1:26">
      <c r="A13" s="4"/>
      <c r="B13" s="4"/>
      <c r="C13" s="4"/>
      <c r="D13" s="12"/>
      <c r="E13" s="4"/>
      <c r="F13" s="4"/>
      <c r="G13" s="4"/>
      <c r="H13" s="4"/>
      <c r="I13" s="4"/>
      <c r="J13" s="4"/>
      <c r="K13" s="4"/>
      <c r="L13" s="4"/>
      <c r="M13" s="4"/>
      <c r="N13" s="4"/>
      <c r="O13" s="4"/>
      <c r="P13" s="4"/>
      <c r="Q13" s="4"/>
      <c r="R13" s="4"/>
      <c r="S13" s="4"/>
      <c r="T13" s="4"/>
      <c r="U13" s="4"/>
      <c r="V13" s="4"/>
      <c r="W13" s="4"/>
      <c r="X13" s="4"/>
      <c r="Y13" s="4"/>
      <c r="Z13" s="4"/>
    </row>
    <row r="14" spans="1:26">
      <c r="A14" s="4"/>
      <c r="B14" s="7" t="s">
        <v>10</v>
      </c>
      <c r="C14" s="11">
        <f>DCF!C58</f>
        <v>3.78</v>
      </c>
      <c r="D14" s="4"/>
      <c r="E14" s="4"/>
      <c r="F14" s="4"/>
      <c r="G14" s="4"/>
      <c r="H14" s="4"/>
      <c r="I14" s="4"/>
      <c r="J14" s="4"/>
      <c r="K14" s="4"/>
      <c r="L14" s="4"/>
      <c r="M14" s="4"/>
      <c r="N14" s="4"/>
      <c r="O14" s="4"/>
      <c r="P14" s="4"/>
      <c r="Q14" s="4"/>
      <c r="R14" s="4"/>
      <c r="S14" s="4"/>
      <c r="T14" s="4"/>
      <c r="U14" s="4"/>
      <c r="V14" s="4"/>
      <c r="W14" s="4"/>
      <c r="X14" s="4"/>
      <c r="Y14" s="4"/>
      <c r="Z14" s="4"/>
    </row>
    <row r="15" spans="1:26">
      <c r="A15" s="4"/>
      <c r="B15" s="7" t="s">
        <v>11</v>
      </c>
      <c r="C15" s="13">
        <f>DCF!C59</f>
        <v>43401.239000000001</v>
      </c>
      <c r="D15" s="4"/>
      <c r="E15" s="4"/>
      <c r="F15" s="4"/>
      <c r="G15" s="4"/>
      <c r="H15" s="4"/>
      <c r="I15" s="4"/>
      <c r="J15" s="4"/>
      <c r="K15" s="4"/>
      <c r="L15" s="4"/>
      <c r="M15" s="4"/>
      <c r="N15" s="4"/>
      <c r="O15" s="4"/>
      <c r="P15" s="4"/>
      <c r="Q15" s="4"/>
      <c r="R15" s="4"/>
      <c r="S15" s="4"/>
      <c r="T15" s="4"/>
      <c r="U15" s="4"/>
      <c r="V15" s="4"/>
      <c r="W15" s="4"/>
      <c r="X15" s="4"/>
      <c r="Y15" s="4"/>
      <c r="Z15" s="4"/>
    </row>
    <row r="16" spans="1:26" ht="15" customHeight="1">
      <c r="A16" s="4"/>
      <c r="B16" s="14" t="s">
        <v>12</v>
      </c>
      <c r="C16" s="15">
        <f>C14*C15</f>
        <v>164056.68341999999</v>
      </c>
      <c r="D16" s="4"/>
      <c r="E16" s="4"/>
      <c r="F16" s="4"/>
      <c r="G16" s="4"/>
      <c r="H16" s="4"/>
      <c r="I16" s="4"/>
      <c r="J16" s="4"/>
      <c r="K16" s="4"/>
      <c r="L16" s="4"/>
      <c r="M16" s="4"/>
      <c r="N16" s="4"/>
      <c r="O16" s="4"/>
      <c r="P16" s="4"/>
      <c r="Q16" s="4"/>
      <c r="R16" s="4"/>
      <c r="S16" s="4"/>
      <c r="T16" s="4"/>
      <c r="U16" s="4"/>
      <c r="V16" s="4"/>
      <c r="W16" s="4"/>
      <c r="X16" s="4"/>
      <c r="Y16" s="4"/>
      <c r="Z16" s="4"/>
    </row>
    <row r="17" spans="1:26">
      <c r="A17" s="4"/>
      <c r="B17" s="16" t="s">
        <v>13</v>
      </c>
      <c r="C17" s="13">
        <f>-DCF!D88</f>
        <v>508330.321</v>
      </c>
      <c r="D17" s="4"/>
      <c r="E17" s="4"/>
      <c r="F17" s="4"/>
      <c r="G17" s="4"/>
      <c r="H17" s="4"/>
      <c r="I17" s="4"/>
      <c r="J17" s="4"/>
      <c r="K17" s="4"/>
      <c r="L17" s="4"/>
      <c r="M17" s="4"/>
      <c r="N17" s="4"/>
      <c r="O17" s="4"/>
      <c r="P17" s="4"/>
      <c r="Q17" s="4"/>
      <c r="R17" s="4"/>
      <c r="S17" s="4"/>
      <c r="T17" s="4"/>
      <c r="U17" s="4"/>
      <c r="V17" s="4"/>
      <c r="W17" s="4"/>
      <c r="X17" s="4"/>
      <c r="Y17" s="4"/>
      <c r="Z17" s="4"/>
    </row>
    <row r="18" spans="1:26">
      <c r="A18" s="4"/>
      <c r="B18" s="16" t="s">
        <v>14</v>
      </c>
      <c r="C18" s="13">
        <f>DCF!D94</f>
        <v>119411.27099999995</v>
      </c>
      <c r="D18" s="4"/>
      <c r="E18" s="4"/>
      <c r="F18" s="4"/>
      <c r="G18" s="4"/>
      <c r="H18" s="4"/>
      <c r="I18" s="4"/>
      <c r="J18" s="4"/>
      <c r="K18" s="4"/>
      <c r="L18" s="4"/>
      <c r="M18" s="4"/>
      <c r="N18" s="4"/>
      <c r="O18" s="4"/>
      <c r="P18" s="4"/>
      <c r="Q18" s="4"/>
      <c r="R18" s="4"/>
      <c r="S18" s="4"/>
      <c r="T18" s="4"/>
      <c r="U18" s="4"/>
      <c r="V18" s="4"/>
      <c r="W18" s="4"/>
      <c r="X18" s="4"/>
      <c r="Y18" s="4"/>
      <c r="Z18" s="4"/>
    </row>
    <row r="19" spans="1:26" ht="15" customHeight="1">
      <c r="A19" s="4"/>
      <c r="B19" s="9" t="s">
        <v>15</v>
      </c>
      <c r="C19" s="17">
        <f>C16+C17-C18</f>
        <v>552975.73342000006</v>
      </c>
      <c r="D19" s="4"/>
      <c r="E19" s="4"/>
      <c r="F19" s="4"/>
      <c r="G19" s="4"/>
      <c r="H19" s="4"/>
      <c r="I19" s="4"/>
      <c r="J19" s="4"/>
      <c r="K19" s="4"/>
      <c r="L19" s="4"/>
      <c r="M19" s="4"/>
      <c r="N19" s="4"/>
      <c r="O19" s="4"/>
      <c r="P19" s="4"/>
      <c r="Q19" s="4"/>
      <c r="R19" s="4"/>
      <c r="S19" s="4"/>
      <c r="T19" s="4"/>
      <c r="U19" s="4"/>
      <c r="V19" s="4"/>
      <c r="W19" s="4"/>
      <c r="X19" s="4"/>
      <c r="Y19" s="4"/>
      <c r="Z19" s="4"/>
    </row>
    <row r="20" spans="1:26">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5" customHeight="1">
      <c r="A21" s="1"/>
      <c r="B21" s="2" t="s">
        <v>16</v>
      </c>
      <c r="C21" s="18" t="s">
        <v>17</v>
      </c>
      <c r="D21" s="18" t="s">
        <v>18</v>
      </c>
      <c r="E21" s="18" t="s">
        <v>19</v>
      </c>
      <c r="F21" s="18" t="s">
        <v>20</v>
      </c>
      <c r="G21" s="18" t="s">
        <v>21</v>
      </c>
      <c r="H21" s="19" t="s">
        <v>22</v>
      </c>
      <c r="I21" s="19" t="s">
        <v>23</v>
      </c>
      <c r="J21" s="19" t="s">
        <v>24</v>
      </c>
      <c r="K21" s="19" t="s">
        <v>25</v>
      </c>
      <c r="L21" s="19" t="s">
        <v>26</v>
      </c>
      <c r="M21" s="4"/>
      <c r="N21" s="4"/>
      <c r="O21" s="4"/>
      <c r="P21" s="4"/>
      <c r="Q21" s="4"/>
      <c r="R21" s="4"/>
      <c r="S21" s="4"/>
      <c r="T21" s="4"/>
      <c r="U21" s="4"/>
      <c r="V21" s="4"/>
      <c r="W21" s="4"/>
      <c r="X21" s="4"/>
      <c r="Y21" s="4"/>
      <c r="Z21" s="4"/>
    </row>
    <row r="22" spans="1:26">
      <c r="A22" s="4"/>
      <c r="B22" s="7" t="s">
        <v>27</v>
      </c>
      <c r="C22" s="20">
        <f>'Income Statement'!D5</f>
        <v>200228.976</v>
      </c>
      <c r="D22" s="20">
        <f>'Income Statement'!E5</f>
        <v>217981.22500000003</v>
      </c>
      <c r="E22" s="20">
        <f>'Income Statement'!F5</f>
        <v>231090.60399999999</v>
      </c>
      <c r="F22" s="20">
        <f>'Income Statement'!G5</f>
        <v>241981.054</v>
      </c>
      <c r="G22" s="20">
        <f>'Income Statement'!H5</f>
        <v>242173.28700000001</v>
      </c>
      <c r="H22" s="20">
        <f>'Income Statement'!I5</f>
        <v>247698.17407615317</v>
      </c>
      <c r="I22" s="20">
        <f>'Income Statement'!J5</f>
        <v>254065.02382510222</v>
      </c>
      <c r="J22" s="20">
        <f>'Income Statement'!K5</f>
        <v>260828.83061416645</v>
      </c>
      <c r="K22" s="20">
        <f>'Income Statement'!L5</f>
        <v>267310.8264958997</v>
      </c>
      <c r="L22" s="20">
        <f>'Income Statement'!M5</f>
        <v>274156.61678996094</v>
      </c>
      <c r="M22" s="4"/>
      <c r="N22" s="4"/>
      <c r="O22" s="4"/>
      <c r="P22" s="4"/>
      <c r="Q22" s="4"/>
      <c r="R22" s="4"/>
      <c r="S22" s="4"/>
      <c r="T22" s="4"/>
      <c r="U22" s="4"/>
      <c r="V22" s="4"/>
      <c r="W22" s="4"/>
      <c r="X22" s="4"/>
      <c r="Y22" s="4"/>
      <c r="Z22" s="4"/>
    </row>
    <row r="23" spans="1:26">
      <c r="A23" s="4"/>
      <c r="B23" s="16" t="s">
        <v>28</v>
      </c>
      <c r="C23" s="21" t="str">
        <f>'Income Statement'!D6</f>
        <v>N/A</v>
      </c>
      <c r="D23" s="21">
        <f>'Income Statement'!E6</f>
        <v>8.8659740236598061E-2</v>
      </c>
      <c r="E23" s="21">
        <f>'Income Statement'!F6</f>
        <v>6.0139945538887352E-2</v>
      </c>
      <c r="F23" s="21">
        <f>'Income Statement'!G6</f>
        <v>4.7126321068423849E-2</v>
      </c>
      <c r="G23" s="21">
        <f>'Income Statement'!H6</f>
        <v>7.9441343370634243E-4</v>
      </c>
      <c r="H23" s="21">
        <f>'Income Statement'!I6</f>
        <v>2.2813775807375203E-2</v>
      </c>
      <c r="I23" s="21">
        <f>'Income Statement'!J6</f>
        <v>2.5704064120358083E-2</v>
      </c>
      <c r="J23" s="21">
        <f>'Income Statement'!K6</f>
        <v>2.662234528480556E-2</v>
      </c>
      <c r="K23" s="21">
        <f>'Income Statement'!L6</f>
        <v>2.4851531429521234E-2</v>
      </c>
      <c r="L23" s="21">
        <f>'Income Statement'!M6</f>
        <v>2.5609850464347828E-2</v>
      </c>
      <c r="M23" s="4"/>
      <c r="N23" s="4"/>
      <c r="O23" s="4"/>
      <c r="P23" s="4"/>
      <c r="Q23" s="4"/>
      <c r="R23" s="4"/>
      <c r="S23" s="4"/>
      <c r="T23" s="4"/>
      <c r="U23" s="4"/>
      <c r="V23" s="4"/>
      <c r="W23" s="4"/>
      <c r="X23" s="4"/>
      <c r="Y23" s="4"/>
      <c r="Z23" s="4"/>
    </row>
    <row r="24" spans="1:26">
      <c r="A24" s="4"/>
      <c r="B24" s="7" t="s">
        <v>29</v>
      </c>
      <c r="C24" s="20">
        <f>'Income Statement'!D33</f>
        <v>54124.535999999986</v>
      </c>
      <c r="D24" s="20">
        <f>'Income Statement'!E33</f>
        <v>74948.177000000025</v>
      </c>
      <c r="E24" s="20">
        <f>'Income Statement'!F33</f>
        <v>86272.520999999979</v>
      </c>
      <c r="F24" s="20">
        <f>'Income Statement'!G33</f>
        <v>90462.995999999985</v>
      </c>
      <c r="G24" s="20">
        <f>'Income Statement'!H33</f>
        <v>88922.417999999976</v>
      </c>
      <c r="H24" s="20">
        <f>'Income Statement'!I33</f>
        <v>95954.810039511751</v>
      </c>
      <c r="I24" s="20">
        <f>'Income Statement'!J33</f>
        <v>99032.836148475268</v>
      </c>
      <c r="J24" s="20">
        <f>'Income Statement'!K33</f>
        <v>102531.60388886664</v>
      </c>
      <c r="K24" s="20">
        <f>'Income Statement'!L33</f>
        <v>105758.9900850454</v>
      </c>
      <c r="L24" s="20">
        <f>'Income Statement'!M33</f>
        <v>109235.09971517761</v>
      </c>
      <c r="M24" s="4"/>
      <c r="N24" s="4"/>
      <c r="O24" s="4"/>
      <c r="P24" s="4"/>
      <c r="Q24" s="4"/>
      <c r="R24" s="4"/>
      <c r="S24" s="4"/>
      <c r="T24" s="4"/>
      <c r="U24" s="4"/>
      <c r="V24" s="4"/>
      <c r="W24" s="4"/>
      <c r="X24" s="4"/>
      <c r="Y24" s="4"/>
      <c r="Z24" s="4"/>
    </row>
    <row r="25" spans="1:26">
      <c r="A25" s="4"/>
      <c r="B25" s="16" t="s">
        <v>30</v>
      </c>
      <c r="C25" s="22">
        <f>'Income Statement'!D34</f>
        <v>0.27031320381921142</v>
      </c>
      <c r="D25" s="22">
        <f>'Income Statement'!E34</f>
        <v>0.34382858890714102</v>
      </c>
      <c r="E25" s="22">
        <f>'Income Statement'!F34</f>
        <v>0.37332768839013453</v>
      </c>
      <c r="F25" s="22">
        <f>'Income Statement'!G34</f>
        <v>0.373843300971819</v>
      </c>
      <c r="G25" s="22">
        <f>'Income Statement'!H34</f>
        <v>0.36718508098707009</v>
      </c>
      <c r="H25" s="22">
        <f>'Income Statement'!I34</f>
        <v>0.38738602089981933</v>
      </c>
      <c r="I25" s="22">
        <f>'Income Statement'!J34</f>
        <v>0.38979326889422311</v>
      </c>
      <c r="J25" s="22">
        <f>'Income Statement'!K34</f>
        <v>0.39309919707663565</v>
      </c>
      <c r="K25" s="22">
        <f>'Income Statement'!L34</f>
        <v>0.39564050387112787</v>
      </c>
      <c r="L25" s="22">
        <f>'Income Statement'!M34</f>
        <v>0.39844050088663618</v>
      </c>
      <c r="M25" s="4"/>
      <c r="N25" s="4"/>
      <c r="O25" s="4"/>
      <c r="P25" s="4"/>
      <c r="Q25" s="4"/>
      <c r="R25" s="4"/>
      <c r="S25" s="4"/>
      <c r="T25" s="4"/>
      <c r="U25" s="4"/>
      <c r="V25" s="4"/>
      <c r="W25" s="4"/>
      <c r="X25" s="4"/>
      <c r="Y25" s="4"/>
      <c r="Z25" s="4"/>
    </row>
    <row r="26" spans="1:26">
      <c r="A26" s="4"/>
      <c r="B26" s="7" t="s">
        <v>31</v>
      </c>
      <c r="C26" s="20">
        <f>'Income Statement'!D41</f>
        <v>-28090.066000000013</v>
      </c>
      <c r="D26" s="20">
        <f>'Income Statement'!E41</f>
        <v>-11257.078999999983</v>
      </c>
      <c r="E26" s="20">
        <f>'Income Statement'!F41</f>
        <v>-7042.2350000000224</v>
      </c>
      <c r="F26" s="20">
        <f>'Income Statement'!G41</f>
        <v>-3363.3050000000185</v>
      </c>
      <c r="G26" s="20">
        <f>'Income Statement'!H41</f>
        <v>-6746.282000000032</v>
      </c>
      <c r="H26" s="20">
        <f>'Income Statement'!I41</f>
        <v>5812.1440962045781</v>
      </c>
      <c r="I26" s="20">
        <f>'Income Statement'!J41</f>
        <v>19925.233623850523</v>
      </c>
      <c r="J26" s="20">
        <f>'Income Statement'!K41</f>
        <v>33472.8922045953</v>
      </c>
      <c r="K26" s="20">
        <f>'Income Statement'!L41</f>
        <v>46357.008351890268</v>
      </c>
      <c r="L26" s="20">
        <f>'Income Statement'!M41</f>
        <v>54287.792295586114</v>
      </c>
      <c r="M26" s="4"/>
      <c r="N26" s="4"/>
      <c r="O26" s="4"/>
      <c r="P26" s="4"/>
      <c r="Q26" s="4"/>
      <c r="R26" s="4"/>
      <c r="S26" s="4"/>
      <c r="T26" s="4"/>
      <c r="U26" s="4"/>
      <c r="V26" s="4"/>
      <c r="W26" s="4"/>
      <c r="X26" s="4"/>
      <c r="Y26" s="4"/>
      <c r="Z26" s="4"/>
    </row>
    <row r="27" spans="1:26">
      <c r="A27" s="4"/>
      <c r="B27" s="7" t="s">
        <v>32</v>
      </c>
      <c r="C27" s="23">
        <f>'Income Statement'!D53</f>
        <v>-0.13656743802398419</v>
      </c>
      <c r="D27" s="23">
        <f>'Income Statement'!E53</f>
        <v>0.11397909846930004</v>
      </c>
      <c r="E27" s="23">
        <f>'Income Statement'!F53</f>
        <v>0.10390958922318067</v>
      </c>
      <c r="F27" s="23">
        <f>'Income Statement'!G53</f>
        <v>-0.1210704798539111</v>
      </c>
      <c r="G27" s="23">
        <f>'Income Statement'!H53</f>
        <v>-0.10262326842788981</v>
      </c>
      <c r="H27" s="23">
        <f>'Income Statement'!I53</f>
        <v>9.6435397436106157E-2</v>
      </c>
      <c r="I27" s="23">
        <f>'Income Statement'!J53</f>
        <v>0.34352518310230146</v>
      </c>
      <c r="J27" s="23">
        <f>'Income Statement'!K53</f>
        <v>0.57868907612182663</v>
      </c>
      <c r="K27" s="23">
        <f>'Income Statement'!L53</f>
        <v>0.80146843263528289</v>
      </c>
      <c r="L27" s="23">
        <f>'Income Statement'!M53</f>
        <v>0.93331434146071413</v>
      </c>
      <c r="M27" s="4"/>
      <c r="N27" s="4"/>
      <c r="O27" s="4"/>
      <c r="P27" s="4"/>
      <c r="Q27" s="4"/>
      <c r="R27" s="4"/>
      <c r="S27" s="4"/>
      <c r="T27" s="4"/>
      <c r="U27" s="4"/>
      <c r="V27" s="4"/>
      <c r="W27" s="4"/>
      <c r="X27" s="4"/>
      <c r="Y27" s="4"/>
      <c r="Z27" s="4"/>
    </row>
    <row r="28" spans="1:26">
      <c r="A28" s="4"/>
      <c r="B28" s="7" t="s">
        <v>33</v>
      </c>
      <c r="C28" s="24">
        <f>'Income Statement'!D58</f>
        <v>0</v>
      </c>
      <c r="D28" s="24">
        <f>'Income Statement'!E58</f>
        <v>0</v>
      </c>
      <c r="E28" s="24">
        <f>'Income Statement'!F58</f>
        <v>0.11789885939039364</v>
      </c>
      <c r="F28" s="24">
        <f>'Income Statement'!G58</f>
        <v>0.12062397735019595</v>
      </c>
      <c r="G28" s="24">
        <f>'Income Statement'!H58</f>
        <v>0.15930418484135903</v>
      </c>
      <c r="H28" s="24">
        <f>'Income Statement'!I58</f>
        <v>0.32257143626706142</v>
      </c>
      <c r="I28" s="24">
        <f>'Income Statement'!J58</f>
        <v>0.32257143626706142</v>
      </c>
      <c r="J28" s="24">
        <f>'Income Statement'!K58</f>
        <v>0.32257143626706142</v>
      </c>
      <c r="K28" s="24">
        <f>'Income Statement'!L58</f>
        <v>0.32257143626706142</v>
      </c>
      <c r="L28" s="24">
        <f>'Income Statement'!M58</f>
        <v>0.32257143626706142</v>
      </c>
      <c r="M28" s="4"/>
      <c r="N28" s="4"/>
      <c r="O28" s="4"/>
      <c r="P28" s="4"/>
      <c r="Q28" s="4"/>
      <c r="R28" s="4"/>
      <c r="S28" s="4"/>
      <c r="T28" s="4"/>
      <c r="U28" s="4"/>
      <c r="V28" s="4"/>
      <c r="W28" s="4"/>
      <c r="X28" s="4"/>
      <c r="Y28" s="4"/>
      <c r="Z28" s="4"/>
    </row>
    <row r="29" spans="1:26">
      <c r="A29" s="4"/>
      <c r="B29" s="16" t="s">
        <v>34</v>
      </c>
      <c r="C29" s="22">
        <f>'Income Statement'!D59</f>
        <v>0</v>
      </c>
      <c r="D29" s="22">
        <f>'Income Statement'!E59</f>
        <v>0</v>
      </c>
      <c r="E29" s="22">
        <f>'Income Statement'!F59</f>
        <v>-0.73983784977354261</v>
      </c>
      <c r="F29" s="22">
        <f>'Income Statement'!G59</f>
        <v>-1.557957723132446</v>
      </c>
      <c r="G29" s="22">
        <f>'Income Statement'!H59</f>
        <v>-1.0248606565809089</v>
      </c>
      <c r="H29" s="22">
        <f>'Income Statement'!I59</f>
        <v>2.4087496401099591</v>
      </c>
      <c r="I29" s="22">
        <f>'Income Statement'!J59</f>
        <v>0.70262664239188577</v>
      </c>
      <c r="J29" s="22">
        <f>'Income Statement'!K59</f>
        <v>0.41824888971135937</v>
      </c>
      <c r="K29" s="22">
        <f>'Income Statement'!L59</f>
        <v>0.30200395792859941</v>
      </c>
      <c r="L29" s="22">
        <f>'Income Statement'!M59</f>
        <v>0.25788486523402565</v>
      </c>
      <c r="M29" s="4"/>
      <c r="N29" s="4"/>
      <c r="O29" s="4"/>
      <c r="P29" s="4"/>
      <c r="Q29" s="4"/>
      <c r="R29" s="4"/>
      <c r="S29" s="4"/>
      <c r="T29" s="4"/>
      <c r="U29" s="4"/>
      <c r="V29" s="4"/>
      <c r="W29" s="4"/>
      <c r="X29" s="4"/>
      <c r="Y29" s="4"/>
      <c r="Z29" s="4"/>
    </row>
    <row r="30" spans="1:26">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 customHeight="1">
      <c r="A31" s="1"/>
      <c r="B31" s="2" t="s">
        <v>35</v>
      </c>
      <c r="C31" s="3"/>
      <c r="D31" s="3"/>
      <c r="E31" s="3"/>
      <c r="F31" s="3"/>
      <c r="G31" s="3"/>
      <c r="H31" s="3"/>
      <c r="I31" s="3"/>
      <c r="J31" s="3"/>
      <c r="K31" s="3"/>
      <c r="L31" s="3"/>
      <c r="M31" s="4"/>
      <c r="N31" s="4"/>
      <c r="O31" s="4"/>
      <c r="P31" s="4"/>
      <c r="Q31" s="4"/>
      <c r="R31" s="4"/>
      <c r="S31" s="4"/>
      <c r="T31" s="4"/>
      <c r="U31" s="4"/>
      <c r="V31" s="4"/>
      <c r="W31" s="4"/>
      <c r="X31" s="4"/>
      <c r="Y31" s="4"/>
      <c r="Z31" s="4"/>
    </row>
    <row r="32" spans="1:26">
      <c r="A32" s="4"/>
      <c r="B32" s="4"/>
      <c r="C32" s="4"/>
      <c r="D32" s="25"/>
      <c r="E32" s="4"/>
      <c r="F32" s="4"/>
      <c r="G32" s="4"/>
      <c r="H32" s="4"/>
      <c r="I32" s="4"/>
      <c r="J32" s="4"/>
      <c r="K32" s="4"/>
      <c r="L32" s="4"/>
      <c r="M32" s="4"/>
      <c r="N32" s="4"/>
      <c r="O32" s="4"/>
      <c r="P32" s="4"/>
      <c r="Q32" s="4"/>
      <c r="R32" s="4"/>
      <c r="S32" s="4"/>
      <c r="T32" s="4"/>
      <c r="U32" s="4"/>
      <c r="V32" s="4"/>
      <c r="W32" s="4"/>
      <c r="X32" s="4"/>
      <c r="Y32" s="4"/>
      <c r="Z32" s="4"/>
    </row>
    <row r="33" spans="1:26">
      <c r="A33" s="4"/>
      <c r="B33" s="7" t="s">
        <v>742</v>
      </c>
      <c r="C33" s="24">
        <f>DCF!D40</f>
        <v>2.0699965351000147</v>
      </c>
      <c r="D33" s="4"/>
      <c r="E33" s="4"/>
      <c r="F33" s="4"/>
      <c r="G33" s="4"/>
      <c r="H33" s="4"/>
      <c r="I33" s="4"/>
      <c r="J33" s="4"/>
      <c r="K33" s="4"/>
      <c r="L33" s="4"/>
      <c r="M33" s="4"/>
      <c r="N33" s="4"/>
      <c r="O33" s="4"/>
      <c r="P33" s="4"/>
      <c r="Q33" s="4"/>
      <c r="R33" s="4"/>
      <c r="S33" s="4"/>
      <c r="T33" s="4"/>
      <c r="U33" s="4"/>
      <c r="V33" s="4"/>
      <c r="W33" s="4"/>
      <c r="X33" s="4"/>
      <c r="Y33" s="4"/>
      <c r="Z33" s="4"/>
    </row>
    <row r="34" spans="1:26">
      <c r="A34" s="4"/>
      <c r="B34" s="7" t="s">
        <v>36</v>
      </c>
      <c r="C34" s="8">
        <f>DCF!D109</f>
        <v>4.1700000000000001E-2</v>
      </c>
      <c r="D34" s="26" t="s">
        <v>37</v>
      </c>
      <c r="E34" s="4"/>
      <c r="F34" s="4"/>
      <c r="G34" s="4"/>
      <c r="H34" s="4"/>
      <c r="I34" s="4"/>
      <c r="J34" s="4"/>
      <c r="K34" s="4"/>
      <c r="L34" s="4"/>
      <c r="M34" s="4"/>
      <c r="N34" s="4"/>
      <c r="O34" s="4"/>
      <c r="P34" s="4"/>
      <c r="Q34" s="4"/>
      <c r="R34" s="4"/>
      <c r="S34" s="4"/>
      <c r="T34" s="4"/>
      <c r="U34" s="4"/>
      <c r="V34" s="4"/>
      <c r="W34" s="4"/>
      <c r="X34" s="4"/>
      <c r="Y34" s="4"/>
      <c r="Z34" s="4"/>
    </row>
    <row r="35" spans="1:26">
      <c r="A35" s="4"/>
      <c r="B35" s="7" t="s">
        <v>38</v>
      </c>
      <c r="C35" s="8">
        <f ca="1">DCF!D108</f>
        <v>4.6580000000000003E-2</v>
      </c>
      <c r="D35" s="4"/>
      <c r="E35" s="4"/>
      <c r="F35" s="4"/>
      <c r="G35" s="4"/>
      <c r="H35" s="4"/>
      <c r="I35" s="4"/>
      <c r="J35" s="4"/>
      <c r="K35" s="4"/>
      <c r="L35" s="4"/>
      <c r="M35" s="4"/>
      <c r="N35" s="4"/>
      <c r="O35" s="4"/>
      <c r="P35" s="4"/>
      <c r="Q35" s="4"/>
      <c r="R35" s="4"/>
      <c r="S35" s="4"/>
      <c r="T35" s="4"/>
      <c r="U35" s="4"/>
      <c r="V35" s="4"/>
      <c r="W35" s="4"/>
      <c r="X35" s="4"/>
      <c r="Y35" s="4"/>
      <c r="Z35" s="4"/>
    </row>
    <row r="36" spans="1:26">
      <c r="A36" s="4"/>
      <c r="B36" s="7" t="s">
        <v>39</v>
      </c>
      <c r="C36" s="8">
        <f>DCF!E108</f>
        <v>5.4239999999999997E-2</v>
      </c>
      <c r="D36" s="4"/>
      <c r="E36" s="4"/>
      <c r="F36" s="4"/>
      <c r="G36" s="4"/>
      <c r="H36" s="4"/>
      <c r="I36" s="4"/>
      <c r="J36" s="4"/>
      <c r="K36" s="4"/>
      <c r="L36" s="4"/>
      <c r="M36" s="4"/>
      <c r="N36" s="4"/>
      <c r="O36" s="4"/>
      <c r="P36" s="4"/>
      <c r="Q36" s="4"/>
      <c r="R36" s="4"/>
      <c r="S36" s="4"/>
      <c r="T36" s="4"/>
      <c r="U36" s="4"/>
      <c r="V36" s="4"/>
      <c r="W36" s="4"/>
      <c r="X36" s="4"/>
      <c r="Y36" s="4"/>
      <c r="Z36" s="4"/>
    </row>
    <row r="37" spans="1:26">
      <c r="A37" s="4"/>
      <c r="B37" s="7" t="s">
        <v>40</v>
      </c>
      <c r="C37" s="8">
        <f>DCF!D110</f>
        <v>5.1299999999999998E-2</v>
      </c>
      <c r="D37" s="26" t="s">
        <v>41</v>
      </c>
      <c r="E37" s="4"/>
      <c r="F37" s="4"/>
      <c r="G37" s="4"/>
      <c r="H37" s="4"/>
      <c r="I37" s="4"/>
      <c r="J37" s="4"/>
      <c r="K37" s="4"/>
      <c r="L37" s="4"/>
      <c r="M37" s="4"/>
      <c r="N37" s="4"/>
      <c r="O37" s="4"/>
      <c r="P37" s="4"/>
      <c r="Q37" s="4"/>
      <c r="R37" s="4"/>
      <c r="S37" s="4"/>
      <c r="T37" s="4"/>
      <c r="U37" s="4"/>
      <c r="V37" s="4"/>
      <c r="W37" s="4"/>
      <c r="X37" s="4"/>
      <c r="Y37" s="4"/>
      <c r="Z37" s="4"/>
    </row>
    <row r="38" spans="1:26">
      <c r="A38" s="4"/>
      <c r="B38" s="7" t="s">
        <v>42</v>
      </c>
      <c r="C38" s="8">
        <f>DCF!D80</f>
        <v>0.02</v>
      </c>
      <c r="D38" s="4"/>
      <c r="E38" s="4"/>
      <c r="F38" s="4"/>
      <c r="G38" s="4"/>
      <c r="H38" s="4"/>
      <c r="I38" s="4"/>
      <c r="J38" s="4"/>
      <c r="K38" s="4"/>
      <c r="L38" s="4"/>
      <c r="M38" s="4"/>
      <c r="N38" s="4"/>
      <c r="O38" s="4"/>
      <c r="P38" s="4"/>
      <c r="Q38" s="4"/>
      <c r="R38" s="4"/>
      <c r="S38" s="4"/>
      <c r="T38" s="4"/>
      <c r="U38" s="4"/>
      <c r="V38" s="4"/>
      <c r="W38" s="4"/>
      <c r="X38" s="4"/>
      <c r="Y38" s="4"/>
      <c r="Z38" s="4"/>
    </row>
    <row r="39" spans="1:26">
      <c r="A39" s="4"/>
      <c r="B39" s="7" t="s">
        <v>43</v>
      </c>
      <c r="C39" s="27">
        <f ca="1">DCF!D124</f>
        <v>7.896450834226922</v>
      </c>
      <c r="D39" s="4"/>
      <c r="E39" s="4"/>
      <c r="F39" s="4"/>
      <c r="G39" s="4"/>
      <c r="H39" s="4"/>
      <c r="I39" s="4"/>
      <c r="J39" s="4"/>
      <c r="K39" s="4"/>
      <c r="L39" s="4"/>
      <c r="M39" s="4"/>
      <c r="N39" s="4"/>
      <c r="O39" s="4"/>
      <c r="P39" s="4"/>
      <c r="Q39" s="4"/>
      <c r="R39" s="4"/>
      <c r="S39" s="4"/>
      <c r="T39" s="4"/>
      <c r="U39" s="4"/>
      <c r="V39" s="4"/>
      <c r="W39" s="4"/>
      <c r="X39" s="4"/>
      <c r="Y39" s="4"/>
      <c r="Z39" s="4"/>
    </row>
    <row r="40" spans="1:26">
      <c r="A40" s="4"/>
      <c r="B40" s="7" t="s">
        <v>44</v>
      </c>
      <c r="C40" s="28">
        <f>DCF!E124</f>
        <v>9.6129987182184866</v>
      </c>
      <c r="D40" s="4"/>
      <c r="E40" s="4"/>
      <c r="F40" s="4"/>
      <c r="G40" s="4"/>
      <c r="H40" s="4"/>
      <c r="I40" s="4"/>
      <c r="J40" s="4"/>
      <c r="K40" s="4"/>
      <c r="L40" s="4"/>
      <c r="M40" s="4"/>
      <c r="N40" s="4"/>
      <c r="O40" s="4"/>
      <c r="P40" s="4"/>
      <c r="Q40" s="4"/>
      <c r="R40" s="4"/>
      <c r="S40" s="4"/>
      <c r="T40" s="4"/>
      <c r="U40" s="4"/>
      <c r="V40" s="4"/>
      <c r="W40" s="4"/>
      <c r="X40" s="4"/>
      <c r="Y40" s="4"/>
      <c r="Z40" s="4"/>
    </row>
    <row r="41" spans="1:26">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c r="A42" s="1"/>
      <c r="B42" s="2" t="s">
        <v>45</v>
      </c>
      <c r="C42" s="3"/>
      <c r="D42" s="3"/>
      <c r="E42" s="3"/>
      <c r="F42" s="3"/>
      <c r="G42" s="3"/>
      <c r="H42" s="3"/>
      <c r="I42" s="3"/>
      <c r="J42" s="3"/>
      <c r="K42" s="3"/>
      <c r="L42" s="3"/>
      <c r="M42" s="4"/>
      <c r="N42" s="4"/>
      <c r="O42" s="4"/>
      <c r="P42" s="4"/>
      <c r="Q42" s="4"/>
      <c r="R42" s="4"/>
      <c r="S42" s="4"/>
      <c r="T42" s="4"/>
      <c r="U42" s="4"/>
      <c r="V42" s="4"/>
      <c r="W42" s="4"/>
      <c r="X42" s="4"/>
      <c r="Y42" s="4"/>
      <c r="Z42" s="4"/>
    </row>
    <row r="43" spans="1:26">
      <c r="A43" s="4"/>
      <c r="B43" s="606" t="s">
        <v>46</v>
      </c>
      <c r="C43" s="578"/>
      <c r="D43" s="578"/>
      <c r="E43" s="578"/>
      <c r="F43" s="578"/>
      <c r="G43" s="578"/>
      <c r="H43" s="578"/>
      <c r="I43" s="578"/>
      <c r="J43" s="578"/>
      <c r="K43" s="578"/>
      <c r="L43" s="578"/>
      <c r="M43" s="4"/>
      <c r="N43" s="4"/>
      <c r="O43" s="4"/>
      <c r="P43" s="4"/>
      <c r="Q43" s="4"/>
      <c r="R43" s="4"/>
      <c r="S43" s="4"/>
      <c r="T43" s="4"/>
      <c r="U43" s="4"/>
      <c r="V43" s="4"/>
      <c r="W43" s="4"/>
      <c r="X43" s="4"/>
      <c r="Y43" s="4"/>
      <c r="Z43" s="4"/>
    </row>
    <row r="44" spans="1:26">
      <c r="A44" s="4"/>
      <c r="B44" s="578"/>
      <c r="C44" s="578"/>
      <c r="D44" s="578"/>
      <c r="E44" s="578"/>
      <c r="F44" s="578"/>
      <c r="G44" s="578"/>
      <c r="H44" s="578"/>
      <c r="I44" s="578"/>
      <c r="J44" s="578"/>
      <c r="K44" s="578"/>
      <c r="L44" s="578"/>
      <c r="M44" s="4"/>
      <c r="N44" s="4"/>
      <c r="O44" s="4"/>
      <c r="P44" s="4"/>
      <c r="Q44" s="4"/>
      <c r="R44" s="4"/>
      <c r="S44" s="4"/>
      <c r="T44" s="4"/>
      <c r="U44" s="4"/>
      <c r="V44" s="4"/>
      <c r="W44" s="4"/>
      <c r="X44" s="4"/>
      <c r="Y44" s="4"/>
      <c r="Z44" s="4"/>
    </row>
    <row r="45" spans="1:26">
      <c r="A45" s="4"/>
      <c r="B45" s="578"/>
      <c r="C45" s="578"/>
      <c r="D45" s="578"/>
      <c r="E45" s="578"/>
      <c r="F45" s="578"/>
      <c r="G45" s="578"/>
      <c r="H45" s="578"/>
      <c r="I45" s="578"/>
      <c r="J45" s="578"/>
      <c r="K45" s="578"/>
      <c r="L45" s="578"/>
      <c r="M45" s="4"/>
      <c r="N45" s="4"/>
      <c r="O45" s="4"/>
      <c r="P45" s="4"/>
      <c r="Q45" s="4"/>
      <c r="R45" s="4"/>
      <c r="S45" s="4"/>
      <c r="T45" s="4"/>
      <c r="U45" s="4"/>
      <c r="V45" s="4"/>
      <c r="W45" s="4"/>
      <c r="X45" s="4"/>
      <c r="Y45" s="4"/>
      <c r="Z45" s="4"/>
    </row>
    <row r="46" spans="1:26">
      <c r="A46" s="4"/>
      <c r="B46" s="578"/>
      <c r="C46" s="578"/>
      <c r="D46" s="578"/>
      <c r="E46" s="578"/>
      <c r="F46" s="578"/>
      <c r="G46" s="578"/>
      <c r="H46" s="578"/>
      <c r="I46" s="578"/>
      <c r="J46" s="578"/>
      <c r="K46" s="578"/>
      <c r="L46" s="578"/>
      <c r="M46" s="4"/>
      <c r="N46" s="4"/>
      <c r="O46" s="4"/>
      <c r="P46" s="4"/>
      <c r="Q46" s="4"/>
      <c r="R46" s="4"/>
      <c r="S46" s="4"/>
      <c r="T46" s="4"/>
      <c r="U46" s="4"/>
      <c r="V46" s="4"/>
      <c r="W46" s="4"/>
      <c r="X46" s="4"/>
      <c r="Y46" s="4"/>
      <c r="Z46" s="4"/>
    </row>
    <row r="47" spans="1:26">
      <c r="A47" s="4"/>
      <c r="B47" s="578"/>
      <c r="C47" s="578"/>
      <c r="D47" s="578"/>
      <c r="E47" s="578"/>
      <c r="F47" s="578"/>
      <c r="G47" s="578"/>
      <c r="H47" s="578"/>
      <c r="I47" s="578"/>
      <c r="J47" s="578"/>
      <c r="K47" s="578"/>
      <c r="L47" s="578"/>
      <c r="M47" s="4"/>
      <c r="N47" s="4"/>
      <c r="O47" s="4"/>
      <c r="P47" s="4"/>
      <c r="Q47" s="4"/>
      <c r="R47" s="4"/>
      <c r="S47" s="4"/>
      <c r="T47" s="4"/>
      <c r="U47" s="4"/>
      <c r="V47" s="4"/>
      <c r="W47" s="4"/>
      <c r="X47" s="4"/>
      <c r="Y47" s="4"/>
      <c r="Z47" s="4"/>
    </row>
    <row r="48" spans="1:26">
      <c r="A48" s="4"/>
      <c r="B48" s="578"/>
      <c r="C48" s="578"/>
      <c r="D48" s="578"/>
      <c r="E48" s="578"/>
      <c r="F48" s="578"/>
      <c r="G48" s="578"/>
      <c r="H48" s="578"/>
      <c r="I48" s="578"/>
      <c r="J48" s="578"/>
      <c r="K48" s="578"/>
      <c r="L48" s="578"/>
      <c r="M48" s="4"/>
      <c r="N48" s="4"/>
      <c r="O48" s="4"/>
      <c r="P48" s="4"/>
      <c r="Q48" s="4"/>
      <c r="R48" s="4"/>
      <c r="S48" s="4"/>
      <c r="T48" s="4"/>
      <c r="U48" s="4"/>
      <c r="V48" s="4"/>
      <c r="W48" s="4"/>
      <c r="X48" s="4"/>
      <c r="Y48" s="4"/>
      <c r="Z48" s="4"/>
    </row>
    <row r="49" spans="1:26">
      <c r="A49" s="4"/>
      <c r="B49" s="578"/>
      <c r="C49" s="578"/>
      <c r="D49" s="578"/>
      <c r="E49" s="578"/>
      <c r="F49" s="578"/>
      <c r="G49" s="578"/>
      <c r="H49" s="578"/>
      <c r="I49" s="578"/>
      <c r="J49" s="578"/>
      <c r="K49" s="578"/>
      <c r="L49" s="578"/>
      <c r="M49" s="4"/>
      <c r="N49" s="4"/>
      <c r="O49" s="4"/>
      <c r="P49" s="4"/>
      <c r="Q49" s="4"/>
      <c r="R49" s="4"/>
      <c r="S49" s="4"/>
      <c r="T49" s="4"/>
      <c r="U49" s="4"/>
      <c r="V49" s="4"/>
      <c r="W49" s="4"/>
      <c r="X49" s="4"/>
      <c r="Y49" s="4"/>
      <c r="Z49" s="4"/>
    </row>
    <row r="50" spans="1:26">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3">
    <mergeCell ref="B43:L49"/>
    <mergeCell ref="C5:C6"/>
    <mergeCell ref="D5:D6"/>
  </mergeCells>
  <conditionalFormatting sqref="C10:D10">
    <cfRule type="cellIs" dxfId="10" priority="1" operator="lessThan">
      <formula>0</formula>
    </cfRule>
    <cfRule type="cellIs" dxfId="9" priority="2" operator="greaterThan">
      <formula>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000"/>
  <sheetViews>
    <sheetView workbookViewId="0"/>
  </sheetViews>
  <sheetFormatPr defaultColWidth="10.1796875" defaultRowHeight="15" customHeight="1"/>
  <cols>
    <col min="1" max="1" width="25.453125" customWidth="1"/>
    <col min="2" max="9" width="18.1796875" customWidth="1"/>
  </cols>
  <sheetData>
    <row r="1" spans="1:26" ht="15" customHeight="1">
      <c r="A1" s="482" t="s">
        <v>498</v>
      </c>
      <c r="B1" s="483" t="s">
        <v>445</v>
      </c>
      <c r="C1" s="4"/>
      <c r="D1" s="4"/>
      <c r="E1" s="4"/>
      <c r="F1" s="4"/>
      <c r="G1" s="4"/>
      <c r="H1" s="4"/>
      <c r="I1" s="4"/>
      <c r="J1" s="4"/>
      <c r="K1" s="4"/>
      <c r="L1" s="4"/>
      <c r="M1" s="4"/>
      <c r="N1" s="4"/>
      <c r="O1" s="4"/>
      <c r="P1" s="4"/>
      <c r="Q1" s="4"/>
      <c r="R1" s="4"/>
      <c r="S1" s="4"/>
      <c r="T1" s="4"/>
      <c r="U1" s="4"/>
      <c r="V1" s="4"/>
      <c r="W1" s="4"/>
      <c r="X1" s="4"/>
      <c r="Y1" s="4"/>
      <c r="Z1" s="4"/>
    </row>
    <row r="2" spans="1:26" ht="15" customHeight="1">
      <c r="A2" s="484" t="s">
        <v>499</v>
      </c>
      <c r="B2" s="485">
        <v>46204</v>
      </c>
      <c r="C2" s="4"/>
      <c r="D2" s="4"/>
      <c r="E2" s="4"/>
      <c r="F2" s="4"/>
      <c r="G2" s="4"/>
      <c r="H2" s="4"/>
      <c r="I2" s="4"/>
      <c r="J2" s="4"/>
      <c r="K2" s="4"/>
      <c r="L2" s="4"/>
      <c r="M2" s="4"/>
      <c r="N2" s="4"/>
      <c r="O2" s="4"/>
      <c r="P2" s="4"/>
      <c r="Q2" s="4"/>
      <c r="R2" s="4"/>
      <c r="S2" s="4"/>
      <c r="T2" s="4"/>
      <c r="U2" s="4"/>
      <c r="V2" s="4"/>
      <c r="W2" s="4"/>
      <c r="X2" s="4"/>
      <c r="Y2" s="4"/>
      <c r="Z2" s="4"/>
    </row>
    <row r="3" spans="1:26">
      <c r="A3" s="4"/>
      <c r="B3" s="4"/>
      <c r="C3" s="4"/>
      <c r="D3" s="4"/>
      <c r="E3" s="486">
        <v>4.1700000000000001E-2</v>
      </c>
      <c r="F3" s="487" t="s">
        <v>500</v>
      </c>
      <c r="G3" s="4"/>
      <c r="H3" s="4"/>
      <c r="I3" s="4"/>
      <c r="J3" s="4"/>
      <c r="K3" s="4"/>
      <c r="L3" s="4"/>
      <c r="M3" s="4"/>
      <c r="N3" s="4"/>
      <c r="O3" s="4"/>
      <c r="P3" s="4"/>
      <c r="Q3" s="4"/>
      <c r="R3" s="4"/>
      <c r="S3" s="4"/>
      <c r="T3" s="4"/>
      <c r="U3" s="4"/>
      <c r="V3" s="4"/>
      <c r="W3" s="4"/>
      <c r="X3" s="4"/>
      <c r="Y3" s="4"/>
      <c r="Z3" s="4"/>
    </row>
    <row r="4" spans="1:26">
      <c r="A4" s="4"/>
      <c r="B4" s="4"/>
      <c r="C4" s="4"/>
      <c r="D4" s="4"/>
      <c r="E4" s="486">
        <v>4.4499999999999998E-2</v>
      </c>
      <c r="F4" s="487" t="s">
        <v>501</v>
      </c>
      <c r="G4" s="4"/>
      <c r="H4" s="4"/>
      <c r="I4" s="4"/>
      <c r="J4" s="4"/>
      <c r="K4" s="4"/>
      <c r="L4" s="4"/>
      <c r="M4" s="4"/>
      <c r="N4" s="4"/>
      <c r="O4" s="4"/>
      <c r="P4" s="4"/>
      <c r="Q4" s="4"/>
      <c r="R4" s="4"/>
      <c r="S4" s="4"/>
      <c r="T4" s="4"/>
      <c r="U4" s="4"/>
      <c r="V4" s="4"/>
      <c r="W4" s="4"/>
      <c r="X4" s="4"/>
      <c r="Y4" s="4"/>
      <c r="Z4" s="4"/>
    </row>
    <row r="5" spans="1:26">
      <c r="A5" s="4"/>
      <c r="B5" s="4"/>
      <c r="C5" s="4"/>
      <c r="D5" s="4"/>
      <c r="E5" s="4"/>
      <c r="F5" s="4"/>
      <c r="G5" s="4"/>
      <c r="H5" s="4"/>
      <c r="I5" s="4"/>
      <c r="J5" s="4"/>
      <c r="K5" s="4"/>
      <c r="L5" s="4"/>
      <c r="M5" s="4"/>
      <c r="N5" s="4"/>
      <c r="O5" s="4"/>
      <c r="P5" s="4"/>
      <c r="Q5" s="4"/>
      <c r="R5" s="4"/>
      <c r="S5" s="4"/>
      <c r="T5" s="4"/>
      <c r="U5" s="4"/>
      <c r="V5" s="4"/>
      <c r="W5" s="4"/>
      <c r="X5" s="4"/>
      <c r="Y5" s="4"/>
      <c r="Z5" s="4"/>
    </row>
    <row r="6" spans="1:26" ht="15" customHeight="1">
      <c r="A6" s="488" t="s">
        <v>502</v>
      </c>
      <c r="B6" s="489" t="s">
        <v>503</v>
      </c>
      <c r="C6" s="490" t="s">
        <v>504</v>
      </c>
      <c r="D6" s="491" t="s">
        <v>505</v>
      </c>
      <c r="E6" s="491" t="s">
        <v>506</v>
      </c>
      <c r="F6" s="491" t="s">
        <v>450</v>
      </c>
      <c r="G6" s="491" t="s">
        <v>507</v>
      </c>
      <c r="H6" s="491" t="s">
        <v>508</v>
      </c>
      <c r="I6" s="492" t="s">
        <v>509</v>
      </c>
      <c r="J6" s="4"/>
      <c r="K6" s="4"/>
      <c r="L6" s="4"/>
      <c r="M6" s="4"/>
      <c r="N6" s="4"/>
      <c r="O6" s="4"/>
      <c r="P6" s="4"/>
      <c r="Q6" s="4"/>
      <c r="R6" s="4"/>
      <c r="S6" s="4"/>
      <c r="T6" s="4"/>
      <c r="U6" s="4"/>
      <c r="V6" s="4"/>
      <c r="W6" s="4"/>
      <c r="X6" s="4"/>
      <c r="Y6" s="4"/>
      <c r="Z6" s="4"/>
    </row>
    <row r="7" spans="1:26" ht="15" customHeight="1">
      <c r="A7" s="493" t="s">
        <v>510</v>
      </c>
      <c r="B7" s="494" t="s">
        <v>511</v>
      </c>
      <c r="C7" s="495" t="s">
        <v>512</v>
      </c>
      <c r="D7" s="496">
        <v>4.4999999999999997E-3</v>
      </c>
      <c r="E7" s="496">
        <v>4.87E-2</v>
      </c>
      <c r="F7" s="496">
        <v>7.0000000000000001E-3</v>
      </c>
      <c r="G7" s="496">
        <v>5.1999999999999998E-3</v>
      </c>
      <c r="H7" s="496">
        <v>4.9799999999999997E-2</v>
      </c>
      <c r="I7" s="497">
        <v>8.0999999999999996E-3</v>
      </c>
      <c r="J7" s="4"/>
      <c r="K7" s="4"/>
      <c r="L7" s="4"/>
      <c r="M7" s="4"/>
      <c r="N7" s="4"/>
      <c r="O7" s="4"/>
      <c r="P7" s="4"/>
      <c r="Q7" s="4"/>
      <c r="R7" s="4"/>
      <c r="S7" s="4"/>
      <c r="T7" s="4"/>
      <c r="U7" s="4"/>
      <c r="V7" s="4"/>
      <c r="W7" s="4"/>
      <c r="X7" s="4"/>
      <c r="Y7" s="4"/>
      <c r="Z7" s="4"/>
    </row>
    <row r="8" spans="1:26" ht="15" customHeight="1">
      <c r="A8" s="498" t="s">
        <v>513</v>
      </c>
      <c r="B8" s="499" t="s">
        <v>514</v>
      </c>
      <c r="C8" s="500" t="s">
        <v>515</v>
      </c>
      <c r="D8" s="501">
        <v>3.3000000000000002E-2</v>
      </c>
      <c r="E8" s="501">
        <v>9.2999999999999999E-2</v>
      </c>
      <c r="F8" s="501">
        <v>5.1299999999999998E-2</v>
      </c>
      <c r="G8" s="500" t="s">
        <v>516</v>
      </c>
      <c r="H8" s="500" t="s">
        <v>516</v>
      </c>
      <c r="I8" s="502" t="s">
        <v>516</v>
      </c>
      <c r="J8" s="4"/>
      <c r="K8" s="4"/>
      <c r="L8" s="4"/>
      <c r="M8" s="4"/>
      <c r="N8" s="4"/>
      <c r="O8" s="4"/>
      <c r="P8" s="4"/>
      <c r="Q8" s="4"/>
      <c r="R8" s="4"/>
      <c r="S8" s="4"/>
      <c r="T8" s="4"/>
      <c r="U8" s="4"/>
      <c r="V8" s="4"/>
      <c r="W8" s="4"/>
      <c r="X8" s="4"/>
      <c r="Y8" s="4"/>
      <c r="Z8" s="4"/>
    </row>
    <row r="9" spans="1:26" ht="15" customHeight="1">
      <c r="A9" s="493" t="s">
        <v>517</v>
      </c>
      <c r="B9" s="494" t="s">
        <v>518</v>
      </c>
      <c r="C9" s="495" t="s">
        <v>519</v>
      </c>
      <c r="D9" s="496">
        <v>1.47E-2</v>
      </c>
      <c r="E9" s="496">
        <v>6.4500000000000002E-2</v>
      </c>
      <c r="F9" s="496">
        <v>2.2800000000000001E-2</v>
      </c>
      <c r="G9" s="495" t="s">
        <v>516</v>
      </c>
      <c r="H9" s="495" t="s">
        <v>516</v>
      </c>
      <c r="I9" s="503" t="s">
        <v>516</v>
      </c>
      <c r="J9" s="4"/>
      <c r="K9" s="4"/>
      <c r="L9" s="4"/>
      <c r="M9" s="4"/>
      <c r="N9" s="4"/>
      <c r="O9" s="4"/>
      <c r="P9" s="4"/>
      <c r="Q9" s="4"/>
      <c r="R9" s="4"/>
      <c r="S9" s="4"/>
      <c r="T9" s="4"/>
      <c r="U9" s="4"/>
      <c r="V9" s="4"/>
      <c r="W9" s="4"/>
      <c r="X9" s="4"/>
      <c r="Y9" s="4"/>
      <c r="Z9" s="4"/>
    </row>
    <row r="10" spans="1:26" ht="15" customHeight="1">
      <c r="A10" s="498" t="s">
        <v>520</v>
      </c>
      <c r="B10" s="499" t="s">
        <v>503</v>
      </c>
      <c r="C10" s="500" t="s">
        <v>521</v>
      </c>
      <c r="D10" s="501">
        <v>5.96E-2</v>
      </c>
      <c r="E10" s="501">
        <v>0.13439999999999999</v>
      </c>
      <c r="F10" s="501">
        <v>9.2700000000000005E-2</v>
      </c>
      <c r="G10" s="501">
        <v>4.9000000000000002E-2</v>
      </c>
      <c r="H10" s="501">
        <v>0.1179</v>
      </c>
      <c r="I10" s="504">
        <v>7.6200000000000004E-2</v>
      </c>
      <c r="J10" s="4"/>
      <c r="K10" s="4"/>
      <c r="L10" s="4"/>
      <c r="M10" s="4"/>
      <c r="N10" s="4"/>
      <c r="O10" s="4"/>
      <c r="P10" s="4"/>
      <c r="Q10" s="4"/>
      <c r="R10" s="4"/>
      <c r="S10" s="4"/>
      <c r="T10" s="4"/>
      <c r="U10" s="4"/>
      <c r="V10" s="4"/>
      <c r="W10" s="4"/>
      <c r="X10" s="4"/>
      <c r="Y10" s="4"/>
      <c r="Z10" s="4"/>
    </row>
    <row r="11" spans="1:26" ht="15" customHeight="1">
      <c r="A11" s="493" t="s">
        <v>522</v>
      </c>
      <c r="B11" s="494" t="s">
        <v>523</v>
      </c>
      <c r="C11" s="495" t="s">
        <v>524</v>
      </c>
      <c r="D11" s="496">
        <v>6.88E-2</v>
      </c>
      <c r="E11" s="496">
        <v>0.1487</v>
      </c>
      <c r="F11" s="496">
        <v>0.107</v>
      </c>
      <c r="G11" s="495" t="s">
        <v>516</v>
      </c>
      <c r="H11" s="495" t="s">
        <v>516</v>
      </c>
      <c r="I11" s="503" t="s">
        <v>516</v>
      </c>
      <c r="J11" s="4"/>
      <c r="K11" s="4"/>
      <c r="L11" s="4"/>
      <c r="M11" s="4"/>
      <c r="N11" s="4"/>
      <c r="O11" s="4"/>
      <c r="P11" s="4"/>
      <c r="Q11" s="4"/>
      <c r="R11" s="4"/>
      <c r="S11" s="4"/>
      <c r="T11" s="4"/>
      <c r="U11" s="4"/>
      <c r="V11" s="4"/>
      <c r="W11" s="4"/>
      <c r="X11" s="4"/>
      <c r="Y11" s="4"/>
      <c r="Z11" s="4"/>
    </row>
    <row r="12" spans="1:26" ht="15" customHeight="1">
      <c r="A12" s="498" t="s">
        <v>525</v>
      </c>
      <c r="B12" s="499" t="s">
        <v>514</v>
      </c>
      <c r="C12" s="500" t="s">
        <v>515</v>
      </c>
      <c r="D12" s="501">
        <v>3.3000000000000002E-2</v>
      </c>
      <c r="E12" s="501">
        <v>9.2999999999999999E-2</v>
      </c>
      <c r="F12" s="501">
        <v>5.1299999999999998E-2</v>
      </c>
      <c r="G12" s="500" t="s">
        <v>516</v>
      </c>
      <c r="H12" s="500" t="s">
        <v>516</v>
      </c>
      <c r="I12" s="502" t="s">
        <v>516</v>
      </c>
      <c r="J12" s="4"/>
      <c r="K12" s="4"/>
      <c r="L12" s="4"/>
      <c r="M12" s="4"/>
      <c r="N12" s="4"/>
      <c r="O12" s="4"/>
      <c r="P12" s="4"/>
      <c r="Q12" s="4"/>
      <c r="R12" s="4"/>
      <c r="S12" s="4"/>
      <c r="T12" s="4"/>
      <c r="U12" s="4"/>
      <c r="V12" s="4"/>
      <c r="W12" s="4"/>
      <c r="X12" s="4"/>
      <c r="Y12" s="4"/>
      <c r="Z12" s="4"/>
    </row>
    <row r="13" spans="1:26" ht="15" customHeight="1">
      <c r="A13" s="493" t="s">
        <v>526</v>
      </c>
      <c r="B13" s="494" t="s">
        <v>527</v>
      </c>
      <c r="C13" s="495" t="s">
        <v>528</v>
      </c>
      <c r="D13" s="496">
        <v>2.0199999999999999E-2</v>
      </c>
      <c r="E13" s="496">
        <v>7.3099999999999998E-2</v>
      </c>
      <c r="F13" s="496">
        <v>3.1399999999999997E-2</v>
      </c>
      <c r="G13" s="495" t="s">
        <v>516</v>
      </c>
      <c r="H13" s="495" t="s">
        <v>516</v>
      </c>
      <c r="I13" s="503" t="s">
        <v>516</v>
      </c>
      <c r="J13" s="4"/>
      <c r="K13" s="4"/>
      <c r="L13" s="4"/>
      <c r="M13" s="4"/>
      <c r="N13" s="4"/>
      <c r="O13" s="4"/>
      <c r="P13" s="4"/>
      <c r="Q13" s="4"/>
      <c r="R13" s="4"/>
      <c r="S13" s="4"/>
      <c r="T13" s="4"/>
      <c r="U13" s="4"/>
      <c r="V13" s="4"/>
      <c r="W13" s="4"/>
      <c r="X13" s="4"/>
      <c r="Y13" s="4"/>
      <c r="Z13" s="4"/>
    </row>
    <row r="14" spans="1:26" ht="15" customHeight="1">
      <c r="A14" s="498" t="s">
        <v>529</v>
      </c>
      <c r="B14" s="499" t="s">
        <v>530</v>
      </c>
      <c r="C14" s="500" t="s">
        <v>531</v>
      </c>
      <c r="D14" s="501">
        <v>0</v>
      </c>
      <c r="E14" s="501">
        <v>4.1700000000000001E-2</v>
      </c>
      <c r="F14" s="501">
        <v>0</v>
      </c>
      <c r="G14" s="501">
        <v>6.9999999999999999E-4</v>
      </c>
      <c r="H14" s="501">
        <v>4.2799999999999998E-2</v>
      </c>
      <c r="I14" s="504">
        <v>1.1000000000000001E-3</v>
      </c>
      <c r="J14" s="4"/>
      <c r="K14" s="4"/>
      <c r="L14" s="4"/>
      <c r="M14" s="4"/>
      <c r="N14" s="4"/>
      <c r="O14" s="4"/>
      <c r="P14" s="4"/>
      <c r="Q14" s="4"/>
      <c r="R14" s="4"/>
      <c r="S14" s="4"/>
      <c r="T14" s="4"/>
      <c r="U14" s="4"/>
      <c r="V14" s="4"/>
      <c r="W14" s="4"/>
      <c r="X14" s="4"/>
      <c r="Y14" s="4"/>
      <c r="Z14" s="4"/>
    </row>
    <row r="15" spans="1:26" ht="15" customHeight="1">
      <c r="A15" s="493" t="s">
        <v>532</v>
      </c>
      <c r="B15" s="494" t="s">
        <v>518</v>
      </c>
      <c r="C15" s="495" t="s">
        <v>533</v>
      </c>
      <c r="D15" s="496">
        <v>2.5000000000000001E-3</v>
      </c>
      <c r="E15" s="496">
        <v>4.5600000000000002E-2</v>
      </c>
      <c r="F15" s="496">
        <v>3.8999999999999998E-3</v>
      </c>
      <c r="G15" s="496">
        <v>1.5E-3</v>
      </c>
      <c r="H15" s="496">
        <v>4.3999999999999997E-2</v>
      </c>
      <c r="I15" s="497">
        <v>2.3E-3</v>
      </c>
      <c r="J15" s="4"/>
      <c r="K15" s="4"/>
      <c r="L15" s="4"/>
      <c r="M15" s="4"/>
      <c r="N15" s="4"/>
      <c r="O15" s="4"/>
      <c r="P15" s="4"/>
      <c r="Q15" s="4"/>
      <c r="R15" s="4"/>
      <c r="S15" s="4"/>
      <c r="T15" s="4"/>
      <c r="U15" s="4"/>
      <c r="V15" s="4"/>
      <c r="W15" s="4"/>
      <c r="X15" s="4"/>
      <c r="Y15" s="4"/>
      <c r="Z15" s="4"/>
    </row>
    <row r="16" spans="1:26" ht="15" customHeight="1">
      <c r="A16" s="498" t="s">
        <v>534</v>
      </c>
      <c r="B16" s="499" t="s">
        <v>514</v>
      </c>
      <c r="C16" s="500" t="s">
        <v>528</v>
      </c>
      <c r="D16" s="501">
        <v>2.0199999999999999E-2</v>
      </c>
      <c r="E16" s="501">
        <v>7.3099999999999998E-2</v>
      </c>
      <c r="F16" s="501">
        <v>3.1399999999999997E-2</v>
      </c>
      <c r="G16" s="500" t="s">
        <v>516</v>
      </c>
      <c r="H16" s="500" t="s">
        <v>516</v>
      </c>
      <c r="I16" s="502" t="s">
        <v>516</v>
      </c>
      <c r="J16" s="4"/>
      <c r="K16" s="4"/>
      <c r="L16" s="4"/>
      <c r="M16" s="4"/>
      <c r="N16" s="4"/>
      <c r="O16" s="4"/>
      <c r="P16" s="4"/>
      <c r="Q16" s="4"/>
      <c r="R16" s="4"/>
      <c r="S16" s="4"/>
      <c r="T16" s="4"/>
      <c r="U16" s="4"/>
      <c r="V16" s="4"/>
      <c r="W16" s="4"/>
      <c r="X16" s="4"/>
      <c r="Y16" s="4"/>
      <c r="Z16" s="4"/>
    </row>
    <row r="17" spans="1:26" ht="15" customHeight="1">
      <c r="A17" s="505" t="s">
        <v>535</v>
      </c>
      <c r="B17" s="506" t="s">
        <v>527</v>
      </c>
      <c r="C17" s="507" t="s">
        <v>515</v>
      </c>
      <c r="D17" s="508">
        <v>3.3000000000000002E-2</v>
      </c>
      <c r="E17" s="508">
        <v>9.2999999999999999E-2</v>
      </c>
      <c r="F17" s="508">
        <v>5.1299999999999998E-2</v>
      </c>
      <c r="G17" s="507" t="s">
        <v>516</v>
      </c>
      <c r="H17" s="507" t="s">
        <v>516</v>
      </c>
      <c r="I17" s="509" t="s">
        <v>516</v>
      </c>
      <c r="J17" s="510"/>
      <c r="K17" s="510"/>
      <c r="L17" s="510"/>
      <c r="M17" s="510"/>
      <c r="N17" s="510"/>
      <c r="O17" s="510"/>
      <c r="P17" s="510"/>
      <c r="Q17" s="510"/>
      <c r="R17" s="510"/>
      <c r="S17" s="510"/>
      <c r="T17" s="510"/>
      <c r="U17" s="510"/>
      <c r="V17" s="510"/>
      <c r="W17" s="510"/>
      <c r="X17" s="510"/>
      <c r="Y17" s="510"/>
      <c r="Z17" s="510"/>
    </row>
    <row r="18" spans="1:26" ht="15" customHeight="1">
      <c r="A18" s="498" t="s">
        <v>536</v>
      </c>
      <c r="B18" s="499" t="s">
        <v>511</v>
      </c>
      <c r="C18" s="500" t="s">
        <v>537</v>
      </c>
      <c r="D18" s="501">
        <v>5.0500000000000003E-2</v>
      </c>
      <c r="E18" s="501">
        <v>0.1202</v>
      </c>
      <c r="F18" s="501">
        <v>7.85E-2</v>
      </c>
      <c r="G18" s="501">
        <v>2.86E-2</v>
      </c>
      <c r="H18" s="501">
        <v>8.6199999999999999E-2</v>
      </c>
      <c r="I18" s="504">
        <v>4.4499999999999998E-2</v>
      </c>
      <c r="J18" s="4"/>
      <c r="K18" s="4"/>
      <c r="L18" s="4"/>
      <c r="M18" s="4"/>
      <c r="N18" s="4"/>
      <c r="O18" s="4"/>
      <c r="P18" s="4"/>
      <c r="Q18" s="4"/>
      <c r="R18" s="4"/>
      <c r="S18" s="4"/>
      <c r="T18" s="4"/>
      <c r="U18" s="4"/>
      <c r="V18" s="4"/>
      <c r="W18" s="4"/>
      <c r="X18" s="4"/>
      <c r="Y18" s="4"/>
      <c r="Z18" s="4"/>
    </row>
    <row r="19" spans="1:26" ht="15" customHeight="1">
      <c r="A19" s="493" t="s">
        <v>538</v>
      </c>
      <c r="B19" s="494" t="s">
        <v>539</v>
      </c>
      <c r="C19" s="495" t="s">
        <v>537</v>
      </c>
      <c r="D19" s="496">
        <v>5.0500000000000003E-2</v>
      </c>
      <c r="E19" s="496">
        <v>0.1202</v>
      </c>
      <c r="F19" s="496">
        <v>7.85E-2</v>
      </c>
      <c r="G19" s="495" t="s">
        <v>516</v>
      </c>
      <c r="H19" s="495" t="s">
        <v>516</v>
      </c>
      <c r="I19" s="503" t="s">
        <v>516</v>
      </c>
      <c r="J19" s="4"/>
      <c r="K19" s="4"/>
      <c r="L19" s="4"/>
      <c r="M19" s="4"/>
      <c r="N19" s="4"/>
      <c r="O19" s="4"/>
      <c r="P19" s="4"/>
      <c r="Q19" s="4"/>
      <c r="R19" s="4"/>
      <c r="S19" s="4"/>
      <c r="T19" s="4"/>
      <c r="U19" s="4"/>
      <c r="V19" s="4"/>
      <c r="W19" s="4"/>
      <c r="X19" s="4"/>
      <c r="Y19" s="4"/>
      <c r="Z19" s="4"/>
    </row>
    <row r="20" spans="1:26" ht="15" customHeight="1">
      <c r="A20" s="498" t="s">
        <v>540</v>
      </c>
      <c r="B20" s="499" t="s">
        <v>527</v>
      </c>
      <c r="C20" s="500" t="s">
        <v>541</v>
      </c>
      <c r="D20" s="501">
        <v>0.17499999999999999</v>
      </c>
      <c r="E20" s="501">
        <v>0.31369999999999998</v>
      </c>
      <c r="F20" s="501">
        <v>0.27200000000000002</v>
      </c>
      <c r="G20" s="500" t="s">
        <v>516</v>
      </c>
      <c r="H20" s="500" t="s">
        <v>516</v>
      </c>
      <c r="I20" s="502" t="s">
        <v>516</v>
      </c>
      <c r="J20" s="4"/>
      <c r="K20" s="4"/>
      <c r="L20" s="4"/>
      <c r="M20" s="4"/>
      <c r="N20" s="4"/>
      <c r="O20" s="4"/>
      <c r="P20" s="4"/>
      <c r="Q20" s="4"/>
      <c r="R20" s="4"/>
      <c r="S20" s="4"/>
      <c r="T20" s="4"/>
      <c r="U20" s="4"/>
      <c r="V20" s="4"/>
      <c r="W20" s="4"/>
      <c r="X20" s="4"/>
      <c r="Y20" s="4"/>
      <c r="Z20" s="4"/>
    </row>
    <row r="21" spans="1:26" ht="15" customHeight="1">
      <c r="A21" s="493" t="s">
        <v>542</v>
      </c>
      <c r="B21" s="494" t="s">
        <v>514</v>
      </c>
      <c r="C21" s="495" t="s">
        <v>541</v>
      </c>
      <c r="D21" s="496">
        <v>0.17499999999999999</v>
      </c>
      <c r="E21" s="496">
        <v>0.31369999999999998</v>
      </c>
      <c r="F21" s="496">
        <v>0.27200000000000002</v>
      </c>
      <c r="G21" s="495" t="s">
        <v>516</v>
      </c>
      <c r="H21" s="495" t="s">
        <v>516</v>
      </c>
      <c r="I21" s="503" t="s">
        <v>516</v>
      </c>
      <c r="J21" s="4"/>
      <c r="K21" s="4"/>
      <c r="L21" s="4"/>
      <c r="M21" s="4"/>
      <c r="N21" s="4"/>
      <c r="O21" s="4"/>
      <c r="P21" s="4"/>
      <c r="Q21" s="4"/>
      <c r="R21" s="4"/>
      <c r="S21" s="4"/>
      <c r="T21" s="4"/>
      <c r="U21" s="4"/>
      <c r="V21" s="4"/>
      <c r="W21" s="4"/>
      <c r="X21" s="4"/>
      <c r="Y21" s="4"/>
      <c r="Z21" s="4"/>
    </row>
    <row r="22" spans="1:26" ht="15" customHeight="1">
      <c r="A22" s="498" t="s">
        <v>543</v>
      </c>
      <c r="B22" s="499" t="s">
        <v>518</v>
      </c>
      <c r="C22" s="500" t="s">
        <v>544</v>
      </c>
      <c r="D22" s="501">
        <v>6.4999999999999997E-3</v>
      </c>
      <c r="E22" s="501">
        <v>5.1799999999999999E-2</v>
      </c>
      <c r="F22" s="501">
        <v>1.01E-2</v>
      </c>
      <c r="G22" s="501">
        <v>2.7000000000000001E-3</v>
      </c>
      <c r="H22" s="501">
        <v>4.5900000000000003E-2</v>
      </c>
      <c r="I22" s="504">
        <v>4.1999999999999997E-3</v>
      </c>
      <c r="J22" s="4"/>
      <c r="K22" s="4"/>
      <c r="L22" s="4"/>
      <c r="M22" s="4"/>
      <c r="N22" s="4"/>
      <c r="O22" s="4"/>
      <c r="P22" s="4"/>
      <c r="Q22" s="4"/>
      <c r="R22" s="4"/>
      <c r="S22" s="4"/>
      <c r="T22" s="4"/>
      <c r="U22" s="4"/>
      <c r="V22" s="4"/>
      <c r="W22" s="4"/>
      <c r="X22" s="4"/>
      <c r="Y22" s="4"/>
      <c r="Z22" s="4"/>
    </row>
    <row r="23" spans="1:26" ht="15" customHeight="1">
      <c r="A23" s="493" t="s">
        <v>545</v>
      </c>
      <c r="B23" s="494" t="s">
        <v>523</v>
      </c>
      <c r="C23" s="495" t="s">
        <v>524</v>
      </c>
      <c r="D23" s="496">
        <v>6.88E-2</v>
      </c>
      <c r="E23" s="496">
        <v>0.1487</v>
      </c>
      <c r="F23" s="496">
        <v>0.107</v>
      </c>
      <c r="G23" s="495" t="s">
        <v>516</v>
      </c>
      <c r="H23" s="495" t="s">
        <v>516</v>
      </c>
      <c r="I23" s="503" t="s">
        <v>516</v>
      </c>
      <c r="J23" s="4"/>
      <c r="K23" s="4"/>
      <c r="L23" s="4"/>
      <c r="M23" s="4"/>
      <c r="N23" s="4"/>
      <c r="O23" s="4"/>
      <c r="P23" s="4"/>
      <c r="Q23" s="4"/>
      <c r="R23" s="4"/>
      <c r="S23" s="4"/>
      <c r="T23" s="4"/>
      <c r="U23" s="4"/>
      <c r="V23" s="4"/>
      <c r="W23" s="4"/>
      <c r="X23" s="4"/>
      <c r="Y23" s="4"/>
      <c r="Z23" s="4"/>
    </row>
    <row r="24" spans="1:26" ht="15" customHeight="1">
      <c r="A24" s="498" t="s">
        <v>546</v>
      </c>
      <c r="B24" s="499" t="s">
        <v>503</v>
      </c>
      <c r="C24" s="500" t="s">
        <v>547</v>
      </c>
      <c r="D24" s="501">
        <v>4.1300000000000003E-2</v>
      </c>
      <c r="E24" s="501">
        <v>0.10589999999999999</v>
      </c>
      <c r="F24" s="501">
        <v>6.4199999999999993E-2</v>
      </c>
      <c r="G24" s="500" t="s">
        <v>516</v>
      </c>
      <c r="H24" s="500" t="s">
        <v>516</v>
      </c>
      <c r="I24" s="502" t="s">
        <v>516</v>
      </c>
      <c r="J24" s="4"/>
      <c r="K24" s="4"/>
      <c r="L24" s="4"/>
      <c r="M24" s="4"/>
      <c r="N24" s="4"/>
      <c r="O24" s="4"/>
      <c r="P24" s="4"/>
      <c r="Q24" s="4"/>
      <c r="R24" s="4"/>
      <c r="S24" s="4"/>
      <c r="T24" s="4"/>
      <c r="U24" s="4"/>
      <c r="V24" s="4"/>
      <c r="W24" s="4"/>
      <c r="X24" s="4"/>
      <c r="Y24" s="4"/>
      <c r="Z24" s="4"/>
    </row>
    <row r="25" spans="1:26" ht="15" customHeight="1">
      <c r="A25" s="493" t="s">
        <v>548</v>
      </c>
      <c r="B25" s="494" t="s">
        <v>527</v>
      </c>
      <c r="C25" s="495" t="s">
        <v>544</v>
      </c>
      <c r="D25" s="496">
        <v>6.4999999999999997E-3</v>
      </c>
      <c r="E25" s="496">
        <v>5.1799999999999999E-2</v>
      </c>
      <c r="F25" s="496">
        <v>1.01E-2</v>
      </c>
      <c r="G25" s="495" t="s">
        <v>516</v>
      </c>
      <c r="H25" s="495" t="s">
        <v>516</v>
      </c>
      <c r="I25" s="503" t="s">
        <v>516</v>
      </c>
      <c r="J25" s="4"/>
      <c r="K25" s="4"/>
      <c r="L25" s="4"/>
      <c r="M25" s="4"/>
      <c r="N25" s="4"/>
      <c r="O25" s="4"/>
      <c r="P25" s="4"/>
      <c r="Q25" s="4"/>
      <c r="R25" s="4"/>
      <c r="S25" s="4"/>
      <c r="T25" s="4"/>
      <c r="U25" s="4"/>
      <c r="V25" s="4"/>
      <c r="W25" s="4"/>
      <c r="X25" s="4"/>
      <c r="Y25" s="4"/>
      <c r="Z25" s="4"/>
    </row>
    <row r="26" spans="1:26" ht="15" customHeight="1">
      <c r="A26" s="498" t="s">
        <v>549</v>
      </c>
      <c r="B26" s="499" t="s">
        <v>523</v>
      </c>
      <c r="C26" s="500" t="s">
        <v>550</v>
      </c>
      <c r="D26" s="501">
        <v>9.1800000000000007E-2</v>
      </c>
      <c r="E26" s="501">
        <v>0.18440000000000001</v>
      </c>
      <c r="F26" s="501">
        <v>0.14269999999999999</v>
      </c>
      <c r="G26" s="500" t="s">
        <v>516</v>
      </c>
      <c r="H26" s="500" t="s">
        <v>516</v>
      </c>
      <c r="I26" s="502" t="s">
        <v>516</v>
      </c>
      <c r="J26" s="4"/>
      <c r="K26" s="4"/>
      <c r="L26" s="4"/>
      <c r="M26" s="4"/>
      <c r="N26" s="4"/>
      <c r="O26" s="4"/>
      <c r="P26" s="4"/>
      <c r="Q26" s="4"/>
      <c r="R26" s="4"/>
      <c r="S26" s="4"/>
      <c r="T26" s="4"/>
      <c r="U26" s="4"/>
      <c r="V26" s="4"/>
      <c r="W26" s="4"/>
      <c r="X26" s="4"/>
      <c r="Y26" s="4"/>
      <c r="Z26" s="4"/>
    </row>
    <row r="27" spans="1:26" ht="15" customHeight="1">
      <c r="A27" s="493" t="s">
        <v>551</v>
      </c>
      <c r="B27" s="494" t="s">
        <v>514</v>
      </c>
      <c r="C27" s="495" t="s">
        <v>521</v>
      </c>
      <c r="D27" s="496">
        <v>5.96E-2</v>
      </c>
      <c r="E27" s="496">
        <v>0.13439999999999999</v>
      </c>
      <c r="F27" s="496">
        <v>9.2700000000000005E-2</v>
      </c>
      <c r="G27" s="495" t="s">
        <v>516</v>
      </c>
      <c r="H27" s="495" t="s">
        <v>516</v>
      </c>
      <c r="I27" s="503" t="s">
        <v>516</v>
      </c>
      <c r="J27" s="4"/>
      <c r="K27" s="4"/>
      <c r="L27" s="4"/>
      <c r="M27" s="4"/>
      <c r="N27" s="4"/>
      <c r="O27" s="4"/>
      <c r="P27" s="4"/>
      <c r="Q27" s="4"/>
      <c r="R27" s="4"/>
      <c r="S27" s="4"/>
      <c r="T27" s="4"/>
      <c r="U27" s="4"/>
      <c r="V27" s="4"/>
      <c r="W27" s="4"/>
      <c r="X27" s="4"/>
      <c r="Y27" s="4"/>
      <c r="Z27" s="4"/>
    </row>
    <row r="28" spans="1:26" ht="15" customHeight="1">
      <c r="A28" s="498" t="s">
        <v>552</v>
      </c>
      <c r="B28" s="499" t="s">
        <v>503</v>
      </c>
      <c r="C28" s="500" t="s">
        <v>519</v>
      </c>
      <c r="D28" s="501">
        <v>1.47E-2</v>
      </c>
      <c r="E28" s="501">
        <v>6.4500000000000002E-2</v>
      </c>
      <c r="F28" s="501">
        <v>2.2800000000000001E-2</v>
      </c>
      <c r="G28" s="500" t="s">
        <v>516</v>
      </c>
      <c r="H28" s="500" t="s">
        <v>516</v>
      </c>
      <c r="I28" s="502" t="s">
        <v>516</v>
      </c>
      <c r="J28" s="4"/>
      <c r="K28" s="4"/>
      <c r="L28" s="4"/>
      <c r="M28" s="4"/>
      <c r="N28" s="4"/>
      <c r="O28" s="4"/>
      <c r="P28" s="4"/>
      <c r="Q28" s="4"/>
      <c r="R28" s="4"/>
      <c r="S28" s="4"/>
      <c r="T28" s="4"/>
      <c r="U28" s="4"/>
      <c r="V28" s="4"/>
      <c r="W28" s="4"/>
      <c r="X28" s="4"/>
      <c r="Y28" s="4"/>
      <c r="Z28" s="4"/>
    </row>
    <row r="29" spans="1:26" ht="15" customHeight="1">
      <c r="A29" s="493" t="s">
        <v>553</v>
      </c>
      <c r="B29" s="494" t="s">
        <v>523</v>
      </c>
      <c r="C29" s="495" t="s">
        <v>554</v>
      </c>
      <c r="D29" s="496">
        <v>2.3E-2</v>
      </c>
      <c r="E29" s="496">
        <v>7.7399999999999997E-2</v>
      </c>
      <c r="F29" s="496">
        <v>3.5700000000000003E-2</v>
      </c>
      <c r="G29" s="496">
        <v>2.0799999999999999E-2</v>
      </c>
      <c r="H29" s="496">
        <v>7.3999999999999996E-2</v>
      </c>
      <c r="I29" s="497">
        <v>3.2300000000000002E-2</v>
      </c>
      <c r="J29" s="4"/>
      <c r="K29" s="4"/>
      <c r="L29" s="4"/>
      <c r="M29" s="4"/>
      <c r="N29" s="4"/>
      <c r="O29" s="4"/>
      <c r="P29" s="4"/>
      <c r="Q29" s="4"/>
      <c r="R29" s="4"/>
      <c r="S29" s="4"/>
      <c r="T29" s="4"/>
      <c r="U29" s="4"/>
      <c r="V29" s="4"/>
      <c r="W29" s="4"/>
      <c r="X29" s="4"/>
      <c r="Y29" s="4"/>
      <c r="Z29" s="4"/>
    </row>
    <row r="30" spans="1:26" ht="15" customHeight="1">
      <c r="A30" s="498" t="s">
        <v>555</v>
      </c>
      <c r="B30" s="499" t="s">
        <v>514</v>
      </c>
      <c r="C30" s="500" t="s">
        <v>519</v>
      </c>
      <c r="D30" s="501">
        <v>1.47E-2</v>
      </c>
      <c r="E30" s="501">
        <v>6.4500000000000002E-2</v>
      </c>
      <c r="F30" s="501">
        <v>2.2800000000000001E-2</v>
      </c>
      <c r="G30" s="501">
        <v>6.4999999999999997E-3</v>
      </c>
      <c r="H30" s="501">
        <v>5.1799999999999999E-2</v>
      </c>
      <c r="I30" s="504">
        <v>1.01E-2</v>
      </c>
      <c r="J30" s="4"/>
      <c r="K30" s="4"/>
      <c r="L30" s="4"/>
      <c r="M30" s="4"/>
      <c r="N30" s="4"/>
      <c r="O30" s="4"/>
      <c r="P30" s="4"/>
      <c r="Q30" s="4"/>
      <c r="R30" s="4"/>
      <c r="S30" s="4"/>
      <c r="T30" s="4"/>
      <c r="U30" s="4"/>
      <c r="V30" s="4"/>
      <c r="W30" s="4"/>
      <c r="X30" s="4"/>
      <c r="Y30" s="4"/>
      <c r="Z30" s="4"/>
    </row>
    <row r="31" spans="1:26" ht="15" customHeight="1">
      <c r="A31" s="493" t="s">
        <v>556</v>
      </c>
      <c r="B31" s="494" t="s">
        <v>503</v>
      </c>
      <c r="C31" s="495" t="s">
        <v>519</v>
      </c>
      <c r="D31" s="496">
        <v>1.47E-2</v>
      </c>
      <c r="E31" s="496">
        <v>6.4500000000000002E-2</v>
      </c>
      <c r="F31" s="496">
        <v>2.2800000000000001E-2</v>
      </c>
      <c r="G31" s="495" t="s">
        <v>516</v>
      </c>
      <c r="H31" s="495" t="s">
        <v>516</v>
      </c>
      <c r="I31" s="503" t="s">
        <v>516</v>
      </c>
      <c r="J31" s="4"/>
      <c r="K31" s="4"/>
      <c r="L31" s="4"/>
      <c r="M31" s="4"/>
      <c r="N31" s="4"/>
      <c r="O31" s="4"/>
      <c r="P31" s="4"/>
      <c r="Q31" s="4"/>
      <c r="R31" s="4"/>
      <c r="S31" s="4"/>
      <c r="T31" s="4"/>
      <c r="U31" s="4"/>
      <c r="V31" s="4"/>
      <c r="W31" s="4"/>
      <c r="X31" s="4"/>
      <c r="Y31" s="4"/>
      <c r="Z31" s="4"/>
    </row>
    <row r="32" spans="1:26" ht="15" customHeight="1">
      <c r="A32" s="498" t="s">
        <v>557</v>
      </c>
      <c r="B32" s="499" t="s">
        <v>539</v>
      </c>
      <c r="C32" s="500" t="s">
        <v>537</v>
      </c>
      <c r="D32" s="501">
        <v>5.0500000000000003E-2</v>
      </c>
      <c r="E32" s="501">
        <v>0.1202</v>
      </c>
      <c r="F32" s="501">
        <v>7.85E-2</v>
      </c>
      <c r="G32" s="500" t="s">
        <v>516</v>
      </c>
      <c r="H32" s="500" t="s">
        <v>516</v>
      </c>
      <c r="I32" s="502" t="s">
        <v>516</v>
      </c>
      <c r="J32" s="4"/>
      <c r="K32" s="4"/>
      <c r="L32" s="4"/>
      <c r="M32" s="4"/>
      <c r="N32" s="4"/>
      <c r="O32" s="4"/>
      <c r="P32" s="4"/>
      <c r="Q32" s="4"/>
      <c r="R32" s="4"/>
      <c r="S32" s="4"/>
      <c r="T32" s="4"/>
      <c r="U32" s="4"/>
      <c r="V32" s="4"/>
      <c r="W32" s="4"/>
      <c r="X32" s="4"/>
      <c r="Y32" s="4"/>
      <c r="Z32" s="4"/>
    </row>
    <row r="33" spans="1:26" ht="15.75" customHeight="1">
      <c r="A33" s="493" t="s">
        <v>558</v>
      </c>
      <c r="B33" s="494" t="s">
        <v>503</v>
      </c>
      <c r="C33" s="495" t="s">
        <v>524</v>
      </c>
      <c r="D33" s="496">
        <v>6.88E-2</v>
      </c>
      <c r="E33" s="496">
        <v>0.1487</v>
      </c>
      <c r="F33" s="496">
        <v>0.107</v>
      </c>
      <c r="G33" s="496">
        <v>5.7200000000000001E-2</v>
      </c>
      <c r="H33" s="496">
        <v>0.13059999999999999</v>
      </c>
      <c r="I33" s="497">
        <v>8.8900000000000007E-2</v>
      </c>
      <c r="J33" s="4"/>
      <c r="K33" s="4"/>
      <c r="L33" s="4"/>
      <c r="M33" s="4"/>
      <c r="N33" s="4"/>
      <c r="O33" s="4"/>
      <c r="P33" s="4"/>
      <c r="Q33" s="4"/>
      <c r="R33" s="4"/>
      <c r="S33" s="4"/>
      <c r="T33" s="4"/>
      <c r="U33" s="4"/>
      <c r="V33" s="4"/>
      <c r="W33" s="4"/>
      <c r="X33" s="4"/>
      <c r="Y33" s="4"/>
      <c r="Z33" s="4"/>
    </row>
    <row r="34" spans="1:26" ht="15.75" customHeight="1">
      <c r="A34" s="498" t="s">
        <v>559</v>
      </c>
      <c r="B34" s="499" t="s">
        <v>560</v>
      </c>
      <c r="C34" s="500" t="s">
        <v>531</v>
      </c>
      <c r="D34" s="501">
        <v>0</v>
      </c>
      <c r="E34" s="501">
        <v>4.1700000000000001E-2</v>
      </c>
      <c r="F34" s="501">
        <v>0</v>
      </c>
      <c r="G34" s="501">
        <v>1.6000000000000001E-3</v>
      </c>
      <c r="H34" s="501">
        <v>4.4200000000000003E-2</v>
      </c>
      <c r="I34" s="504">
        <v>2.5000000000000001E-3</v>
      </c>
      <c r="J34" s="4"/>
      <c r="K34" s="4"/>
      <c r="L34" s="4"/>
      <c r="M34" s="4"/>
      <c r="N34" s="4"/>
      <c r="O34" s="4"/>
      <c r="P34" s="4"/>
      <c r="Q34" s="4"/>
      <c r="R34" s="4"/>
      <c r="S34" s="4"/>
      <c r="T34" s="4"/>
      <c r="U34" s="4"/>
      <c r="V34" s="4"/>
      <c r="W34" s="4"/>
      <c r="X34" s="4"/>
      <c r="Y34" s="4"/>
      <c r="Z34" s="4"/>
    </row>
    <row r="35" spans="1:26" ht="15.75" customHeight="1">
      <c r="A35" s="493" t="s">
        <v>561</v>
      </c>
      <c r="B35" s="494" t="s">
        <v>503</v>
      </c>
      <c r="C35" s="495" t="s">
        <v>547</v>
      </c>
      <c r="D35" s="496">
        <v>4.1300000000000003E-2</v>
      </c>
      <c r="E35" s="496">
        <v>0.10589999999999999</v>
      </c>
      <c r="F35" s="496">
        <v>6.4199999999999993E-2</v>
      </c>
      <c r="G35" s="495" t="s">
        <v>516</v>
      </c>
      <c r="H35" s="495" t="s">
        <v>516</v>
      </c>
      <c r="I35" s="503" t="s">
        <v>516</v>
      </c>
      <c r="J35" s="4"/>
      <c r="K35" s="4"/>
      <c r="L35" s="4"/>
      <c r="M35" s="4"/>
      <c r="N35" s="4"/>
      <c r="O35" s="4"/>
      <c r="P35" s="4"/>
      <c r="Q35" s="4"/>
      <c r="R35" s="4"/>
      <c r="S35" s="4"/>
      <c r="T35" s="4"/>
      <c r="U35" s="4"/>
      <c r="V35" s="4"/>
      <c r="W35" s="4"/>
      <c r="X35" s="4"/>
      <c r="Y35" s="4"/>
      <c r="Z35" s="4"/>
    </row>
    <row r="36" spans="1:26" ht="15.75" customHeight="1">
      <c r="A36" s="498" t="s">
        <v>562</v>
      </c>
      <c r="B36" s="499" t="s">
        <v>527</v>
      </c>
      <c r="C36" s="500" t="s">
        <v>563</v>
      </c>
      <c r="D36" s="501">
        <v>5.4999999999999997E-3</v>
      </c>
      <c r="E36" s="501">
        <v>5.0299999999999997E-2</v>
      </c>
      <c r="F36" s="501">
        <v>8.6E-3</v>
      </c>
      <c r="G36" s="500" t="s">
        <v>516</v>
      </c>
      <c r="H36" s="500" t="s">
        <v>516</v>
      </c>
      <c r="I36" s="502" t="s">
        <v>516</v>
      </c>
      <c r="J36" s="4"/>
      <c r="K36" s="4"/>
      <c r="L36" s="4"/>
      <c r="M36" s="4"/>
      <c r="N36" s="4"/>
      <c r="O36" s="4"/>
      <c r="P36" s="4"/>
      <c r="Q36" s="4"/>
      <c r="R36" s="4"/>
      <c r="S36" s="4"/>
      <c r="T36" s="4"/>
      <c r="U36" s="4"/>
      <c r="V36" s="4"/>
      <c r="W36" s="4"/>
      <c r="X36" s="4"/>
      <c r="Y36" s="4"/>
      <c r="Z36" s="4"/>
    </row>
    <row r="37" spans="1:26" ht="15.75" customHeight="1">
      <c r="A37" s="493" t="s">
        <v>564</v>
      </c>
      <c r="B37" s="494" t="s">
        <v>523</v>
      </c>
      <c r="C37" s="495" t="s">
        <v>565</v>
      </c>
      <c r="D37" s="496">
        <v>7.7999999999999996E-3</v>
      </c>
      <c r="E37" s="496">
        <v>5.3800000000000001E-2</v>
      </c>
      <c r="F37" s="496">
        <v>1.21E-2</v>
      </c>
      <c r="G37" s="496">
        <v>6.7000000000000002E-3</v>
      </c>
      <c r="H37" s="496">
        <v>5.21E-2</v>
      </c>
      <c r="I37" s="497">
        <v>1.04E-2</v>
      </c>
      <c r="J37" s="4"/>
      <c r="K37" s="4"/>
      <c r="L37" s="4"/>
      <c r="M37" s="4"/>
      <c r="N37" s="4"/>
      <c r="O37" s="4"/>
      <c r="P37" s="4"/>
      <c r="Q37" s="4"/>
      <c r="R37" s="4"/>
      <c r="S37" s="4"/>
      <c r="T37" s="4"/>
      <c r="U37" s="4"/>
      <c r="V37" s="4"/>
      <c r="W37" s="4"/>
      <c r="X37" s="4"/>
      <c r="Y37" s="4"/>
      <c r="Z37" s="4"/>
    </row>
    <row r="38" spans="1:26" ht="15.75" customHeight="1">
      <c r="A38" s="498" t="s">
        <v>566</v>
      </c>
      <c r="B38" s="499" t="s">
        <v>539</v>
      </c>
      <c r="C38" s="500" t="s">
        <v>544</v>
      </c>
      <c r="D38" s="501">
        <v>6.4999999999999997E-3</v>
      </c>
      <c r="E38" s="501">
        <v>5.1799999999999999E-2</v>
      </c>
      <c r="F38" s="501">
        <v>1.01E-2</v>
      </c>
      <c r="G38" s="501">
        <v>3.8999999999999998E-3</v>
      </c>
      <c r="H38" s="501">
        <v>4.7800000000000002E-2</v>
      </c>
      <c r="I38" s="504">
        <v>6.1000000000000004E-3</v>
      </c>
      <c r="J38" s="4"/>
      <c r="K38" s="4"/>
      <c r="L38" s="4"/>
      <c r="M38" s="4"/>
      <c r="N38" s="4"/>
      <c r="O38" s="4"/>
      <c r="P38" s="4"/>
      <c r="Q38" s="4"/>
      <c r="R38" s="4"/>
      <c r="S38" s="4"/>
      <c r="T38" s="4"/>
      <c r="U38" s="4"/>
      <c r="V38" s="4"/>
      <c r="W38" s="4"/>
      <c r="X38" s="4"/>
      <c r="Y38" s="4"/>
      <c r="Z38" s="4"/>
    </row>
    <row r="39" spans="1:26" ht="15.75" customHeight="1">
      <c r="A39" s="493" t="s">
        <v>567</v>
      </c>
      <c r="B39" s="494" t="s">
        <v>523</v>
      </c>
      <c r="C39" s="495" t="s">
        <v>528</v>
      </c>
      <c r="D39" s="496">
        <v>2.0199999999999999E-2</v>
      </c>
      <c r="E39" s="496">
        <v>7.3099999999999998E-2</v>
      </c>
      <c r="F39" s="496">
        <v>3.1399999999999997E-2</v>
      </c>
      <c r="G39" s="496">
        <v>2.3800000000000002E-2</v>
      </c>
      <c r="H39" s="496">
        <v>7.8700000000000006E-2</v>
      </c>
      <c r="I39" s="497">
        <v>3.6999999999999998E-2</v>
      </c>
      <c r="J39" s="4"/>
      <c r="K39" s="4"/>
      <c r="L39" s="4"/>
      <c r="M39" s="4"/>
      <c r="N39" s="4"/>
      <c r="O39" s="4"/>
      <c r="P39" s="4"/>
      <c r="Q39" s="4"/>
      <c r="R39" s="4"/>
      <c r="S39" s="4"/>
      <c r="T39" s="4"/>
      <c r="U39" s="4"/>
      <c r="V39" s="4"/>
      <c r="W39" s="4"/>
      <c r="X39" s="4"/>
      <c r="Y39" s="4"/>
      <c r="Z39" s="4"/>
    </row>
    <row r="40" spans="1:26" ht="15.75" customHeight="1">
      <c r="A40" s="498" t="s">
        <v>568</v>
      </c>
      <c r="B40" s="499" t="s">
        <v>503</v>
      </c>
      <c r="C40" s="500" t="s">
        <v>521</v>
      </c>
      <c r="D40" s="501">
        <v>5.96E-2</v>
      </c>
      <c r="E40" s="501">
        <v>0.13439999999999999</v>
      </c>
      <c r="F40" s="501">
        <v>9.2700000000000005E-2</v>
      </c>
      <c r="G40" s="500" t="s">
        <v>516</v>
      </c>
      <c r="H40" s="500" t="s">
        <v>516</v>
      </c>
      <c r="I40" s="502" t="s">
        <v>516</v>
      </c>
      <c r="J40" s="4"/>
      <c r="K40" s="4"/>
      <c r="L40" s="4"/>
      <c r="M40" s="4"/>
      <c r="N40" s="4"/>
      <c r="O40" s="4"/>
      <c r="P40" s="4"/>
      <c r="Q40" s="4"/>
      <c r="R40" s="4"/>
      <c r="S40" s="4"/>
      <c r="T40" s="4"/>
      <c r="U40" s="4"/>
      <c r="V40" s="4"/>
      <c r="W40" s="4"/>
      <c r="X40" s="4"/>
      <c r="Y40" s="4"/>
      <c r="Z40" s="4"/>
    </row>
    <row r="41" spans="1:26" ht="15.75" customHeight="1">
      <c r="A41" s="493" t="s">
        <v>569</v>
      </c>
      <c r="B41" s="494" t="s">
        <v>503</v>
      </c>
      <c r="C41" s="495" t="s">
        <v>570</v>
      </c>
      <c r="D41" s="496">
        <v>8.2600000000000007E-2</v>
      </c>
      <c r="E41" s="496">
        <v>0.1701</v>
      </c>
      <c r="F41" s="496">
        <v>0.12839999999999999</v>
      </c>
      <c r="G41" s="495" t="s">
        <v>516</v>
      </c>
      <c r="H41" s="495" t="s">
        <v>516</v>
      </c>
      <c r="I41" s="503" t="s">
        <v>516</v>
      </c>
      <c r="J41" s="4"/>
      <c r="K41" s="4"/>
      <c r="L41" s="4"/>
      <c r="M41" s="4"/>
      <c r="N41" s="4"/>
      <c r="O41" s="4"/>
      <c r="P41" s="4"/>
      <c r="Q41" s="4"/>
      <c r="R41" s="4"/>
      <c r="S41" s="4"/>
      <c r="T41" s="4"/>
      <c r="U41" s="4"/>
      <c r="V41" s="4"/>
      <c r="W41" s="4"/>
      <c r="X41" s="4"/>
      <c r="Y41" s="4"/>
      <c r="Z41" s="4"/>
    </row>
    <row r="42" spans="1:26" ht="15.75" customHeight="1">
      <c r="A42" s="498" t="s">
        <v>571</v>
      </c>
      <c r="B42" s="499" t="s">
        <v>530</v>
      </c>
      <c r="C42" s="500" t="s">
        <v>515</v>
      </c>
      <c r="D42" s="501">
        <v>3.3000000000000002E-2</v>
      </c>
      <c r="E42" s="501">
        <v>9.2999999999999999E-2</v>
      </c>
      <c r="F42" s="501">
        <v>5.1299999999999998E-2</v>
      </c>
      <c r="G42" s="500" t="s">
        <v>516</v>
      </c>
      <c r="H42" s="500" t="s">
        <v>516</v>
      </c>
      <c r="I42" s="502" t="s">
        <v>516</v>
      </c>
      <c r="J42" s="4"/>
      <c r="K42" s="4"/>
      <c r="L42" s="4"/>
      <c r="M42" s="4"/>
      <c r="N42" s="4"/>
      <c r="O42" s="4"/>
      <c r="P42" s="4"/>
      <c r="Q42" s="4"/>
      <c r="R42" s="4"/>
      <c r="S42" s="4"/>
      <c r="T42" s="4"/>
      <c r="U42" s="4"/>
      <c r="V42" s="4"/>
      <c r="W42" s="4"/>
      <c r="X42" s="4"/>
      <c r="Y42" s="4"/>
      <c r="Z42" s="4"/>
    </row>
    <row r="43" spans="1:26" ht="15.75" customHeight="1">
      <c r="A43" s="493" t="s">
        <v>572</v>
      </c>
      <c r="B43" s="494" t="s">
        <v>523</v>
      </c>
      <c r="C43" s="495" t="s">
        <v>515</v>
      </c>
      <c r="D43" s="496">
        <v>3.3000000000000002E-2</v>
      </c>
      <c r="E43" s="496">
        <v>9.2999999999999999E-2</v>
      </c>
      <c r="F43" s="496">
        <v>5.1299999999999998E-2</v>
      </c>
      <c r="G43" s="496">
        <v>1.7000000000000001E-2</v>
      </c>
      <c r="H43" s="496">
        <v>6.8099999999999994E-2</v>
      </c>
      <c r="I43" s="497">
        <v>2.64E-2</v>
      </c>
      <c r="J43" s="4"/>
      <c r="K43" s="4"/>
      <c r="L43" s="4"/>
      <c r="M43" s="4"/>
      <c r="N43" s="4"/>
      <c r="O43" s="4"/>
      <c r="P43" s="4"/>
      <c r="Q43" s="4"/>
      <c r="R43" s="4"/>
      <c r="S43" s="4"/>
      <c r="T43" s="4"/>
      <c r="U43" s="4"/>
      <c r="V43" s="4"/>
      <c r="W43" s="4"/>
      <c r="X43" s="4"/>
      <c r="Y43" s="4"/>
      <c r="Z43" s="4"/>
    </row>
    <row r="44" spans="1:26" ht="15.75" customHeight="1">
      <c r="A44" s="498" t="s">
        <v>573</v>
      </c>
      <c r="B44" s="499" t="s">
        <v>503</v>
      </c>
      <c r="C44" s="500" t="s">
        <v>574</v>
      </c>
      <c r="D44" s="501">
        <v>2.76E-2</v>
      </c>
      <c r="E44" s="501">
        <v>8.4599999999999995E-2</v>
      </c>
      <c r="F44" s="501">
        <v>4.2900000000000001E-2</v>
      </c>
      <c r="G44" s="500" t="s">
        <v>516</v>
      </c>
      <c r="H44" s="500" t="s">
        <v>516</v>
      </c>
      <c r="I44" s="502" t="s">
        <v>516</v>
      </c>
      <c r="J44" s="4"/>
      <c r="K44" s="4"/>
      <c r="L44" s="4"/>
      <c r="M44" s="4"/>
      <c r="N44" s="4"/>
      <c r="O44" s="4"/>
      <c r="P44" s="4"/>
      <c r="Q44" s="4"/>
      <c r="R44" s="4"/>
      <c r="S44" s="4"/>
      <c r="T44" s="4"/>
      <c r="U44" s="4"/>
      <c r="V44" s="4"/>
      <c r="W44" s="4"/>
      <c r="X44" s="4"/>
      <c r="Y44" s="4"/>
      <c r="Z44" s="4"/>
    </row>
    <row r="45" spans="1:26" ht="15.75" customHeight="1">
      <c r="A45" s="493" t="s">
        <v>575</v>
      </c>
      <c r="B45" s="494" t="s">
        <v>514</v>
      </c>
      <c r="C45" s="495" t="s">
        <v>576</v>
      </c>
      <c r="D45" s="496">
        <v>1.0999999999999999E-2</v>
      </c>
      <c r="E45" s="496">
        <v>5.8799999999999998E-2</v>
      </c>
      <c r="F45" s="496">
        <v>1.7100000000000001E-2</v>
      </c>
      <c r="G45" s="496">
        <v>7.7999999999999996E-3</v>
      </c>
      <c r="H45" s="496">
        <v>5.3800000000000001E-2</v>
      </c>
      <c r="I45" s="497">
        <v>1.21E-2</v>
      </c>
      <c r="J45" s="4"/>
      <c r="K45" s="4"/>
      <c r="L45" s="4"/>
      <c r="M45" s="4"/>
      <c r="N45" s="4"/>
      <c r="O45" s="4"/>
      <c r="P45" s="4"/>
      <c r="Q45" s="4"/>
      <c r="R45" s="4"/>
      <c r="S45" s="4"/>
      <c r="T45" s="4"/>
      <c r="U45" s="4"/>
      <c r="V45" s="4"/>
      <c r="W45" s="4"/>
      <c r="X45" s="4"/>
      <c r="Y45" s="4"/>
      <c r="Z45" s="4"/>
    </row>
    <row r="46" spans="1:26" ht="15.75" customHeight="1">
      <c r="A46" s="498" t="s">
        <v>577</v>
      </c>
      <c r="B46" s="499" t="s">
        <v>527</v>
      </c>
      <c r="C46" s="500" t="s">
        <v>578</v>
      </c>
      <c r="D46" s="501">
        <v>0.1101</v>
      </c>
      <c r="E46" s="501">
        <v>0.21290000000000001</v>
      </c>
      <c r="F46" s="501">
        <v>0.17119999999999999</v>
      </c>
      <c r="G46" s="500" t="s">
        <v>516</v>
      </c>
      <c r="H46" s="500" t="s">
        <v>516</v>
      </c>
      <c r="I46" s="502" t="s">
        <v>516</v>
      </c>
      <c r="J46" s="4"/>
      <c r="K46" s="4"/>
      <c r="L46" s="4"/>
      <c r="M46" s="4"/>
      <c r="N46" s="4"/>
      <c r="O46" s="4"/>
      <c r="P46" s="4"/>
      <c r="Q46" s="4"/>
      <c r="R46" s="4"/>
      <c r="S46" s="4"/>
      <c r="T46" s="4"/>
      <c r="U46" s="4"/>
      <c r="V46" s="4"/>
      <c r="W46" s="4"/>
      <c r="X46" s="4"/>
      <c r="Y46" s="4"/>
      <c r="Z46" s="4"/>
    </row>
    <row r="47" spans="1:26" ht="15.75" customHeight="1">
      <c r="A47" s="493" t="s">
        <v>579</v>
      </c>
      <c r="B47" s="494" t="s">
        <v>527</v>
      </c>
      <c r="C47" s="495" t="s">
        <v>528</v>
      </c>
      <c r="D47" s="496">
        <v>2.0199999999999999E-2</v>
      </c>
      <c r="E47" s="496">
        <v>7.3099999999999998E-2</v>
      </c>
      <c r="F47" s="496">
        <v>3.1399999999999997E-2</v>
      </c>
      <c r="G47" s="495" t="s">
        <v>516</v>
      </c>
      <c r="H47" s="495" t="s">
        <v>516</v>
      </c>
      <c r="I47" s="503" t="s">
        <v>516</v>
      </c>
      <c r="J47" s="4"/>
      <c r="K47" s="4"/>
      <c r="L47" s="4"/>
      <c r="M47" s="4"/>
      <c r="N47" s="4"/>
      <c r="O47" s="4"/>
      <c r="P47" s="4"/>
      <c r="Q47" s="4"/>
      <c r="R47" s="4"/>
      <c r="S47" s="4"/>
      <c r="T47" s="4"/>
      <c r="U47" s="4"/>
      <c r="V47" s="4"/>
      <c r="W47" s="4"/>
      <c r="X47" s="4"/>
      <c r="Y47" s="4"/>
      <c r="Z47" s="4"/>
    </row>
    <row r="48" spans="1:26" ht="15.75" customHeight="1">
      <c r="A48" s="498" t="s">
        <v>580</v>
      </c>
      <c r="B48" s="499" t="s">
        <v>518</v>
      </c>
      <c r="C48" s="500" t="s">
        <v>576</v>
      </c>
      <c r="D48" s="501">
        <v>1.0999999999999999E-2</v>
      </c>
      <c r="E48" s="501">
        <v>5.8799999999999998E-2</v>
      </c>
      <c r="F48" s="501">
        <v>1.7100000000000001E-2</v>
      </c>
      <c r="G48" s="501">
        <v>4.8999999999999998E-3</v>
      </c>
      <c r="H48" s="501">
        <v>4.9299999999999997E-2</v>
      </c>
      <c r="I48" s="504">
        <v>7.6E-3</v>
      </c>
      <c r="J48" s="4"/>
      <c r="K48" s="4"/>
      <c r="L48" s="4"/>
      <c r="M48" s="4"/>
      <c r="N48" s="4"/>
      <c r="O48" s="4"/>
      <c r="P48" s="4"/>
      <c r="Q48" s="4"/>
      <c r="R48" s="4"/>
      <c r="S48" s="4"/>
      <c r="T48" s="4"/>
      <c r="U48" s="4"/>
      <c r="V48" s="4"/>
      <c r="W48" s="4"/>
      <c r="X48" s="4"/>
      <c r="Y48" s="4"/>
      <c r="Z48" s="4"/>
    </row>
    <row r="49" spans="1:26" ht="15.75" customHeight="1">
      <c r="A49" s="493" t="s">
        <v>581</v>
      </c>
      <c r="B49" s="494" t="s">
        <v>514</v>
      </c>
      <c r="C49" s="495" t="s">
        <v>563</v>
      </c>
      <c r="D49" s="496">
        <v>5.4999999999999997E-3</v>
      </c>
      <c r="E49" s="496">
        <v>5.0299999999999997E-2</v>
      </c>
      <c r="F49" s="496">
        <v>8.6E-3</v>
      </c>
      <c r="G49" s="496">
        <v>4.0000000000000001E-3</v>
      </c>
      <c r="H49" s="496">
        <v>4.7899999999999998E-2</v>
      </c>
      <c r="I49" s="497">
        <v>6.1999999999999998E-3</v>
      </c>
      <c r="J49" s="4"/>
      <c r="K49" s="4"/>
      <c r="L49" s="4"/>
      <c r="M49" s="4"/>
      <c r="N49" s="4"/>
      <c r="O49" s="4"/>
      <c r="P49" s="4"/>
      <c r="Q49" s="4"/>
      <c r="R49" s="4"/>
      <c r="S49" s="4"/>
      <c r="T49" s="4"/>
      <c r="U49" s="4"/>
      <c r="V49" s="4"/>
      <c r="W49" s="4"/>
      <c r="X49" s="4"/>
      <c r="Y49" s="4"/>
      <c r="Z49" s="4"/>
    </row>
    <row r="50" spans="1:26" ht="15.75" customHeight="1">
      <c r="A50" s="498" t="s">
        <v>582</v>
      </c>
      <c r="B50" s="499" t="s">
        <v>518</v>
      </c>
      <c r="C50" s="500" t="s">
        <v>531</v>
      </c>
      <c r="D50" s="501">
        <v>0</v>
      </c>
      <c r="E50" s="501">
        <v>4.1700000000000001E-2</v>
      </c>
      <c r="F50" s="501">
        <v>0</v>
      </c>
      <c r="G50" s="501">
        <v>5.9999999999999995E-4</v>
      </c>
      <c r="H50" s="501">
        <v>4.2599999999999999E-2</v>
      </c>
      <c r="I50" s="504">
        <v>8.9999999999999998E-4</v>
      </c>
      <c r="J50" s="4"/>
      <c r="K50" s="4"/>
      <c r="L50" s="4"/>
      <c r="M50" s="4"/>
      <c r="N50" s="4"/>
      <c r="O50" s="4"/>
      <c r="P50" s="4"/>
      <c r="Q50" s="4"/>
      <c r="R50" s="4"/>
      <c r="S50" s="4"/>
      <c r="T50" s="4"/>
      <c r="U50" s="4"/>
      <c r="V50" s="4"/>
      <c r="W50" s="4"/>
      <c r="X50" s="4"/>
      <c r="Y50" s="4"/>
      <c r="Z50" s="4"/>
    </row>
    <row r="51" spans="1:26" ht="15.75" customHeight="1">
      <c r="A51" s="493" t="s">
        <v>583</v>
      </c>
      <c r="B51" s="494" t="s">
        <v>527</v>
      </c>
      <c r="C51" s="495" t="s">
        <v>574</v>
      </c>
      <c r="D51" s="496">
        <v>2.76E-2</v>
      </c>
      <c r="E51" s="496">
        <v>8.4599999999999995E-2</v>
      </c>
      <c r="F51" s="496">
        <v>4.2900000000000001E-2</v>
      </c>
      <c r="G51" s="495" t="s">
        <v>516</v>
      </c>
      <c r="H51" s="495" t="s">
        <v>516</v>
      </c>
      <c r="I51" s="503" t="s">
        <v>516</v>
      </c>
      <c r="J51" s="4"/>
      <c r="K51" s="4"/>
      <c r="L51" s="4"/>
      <c r="M51" s="4"/>
      <c r="N51" s="4"/>
      <c r="O51" s="4"/>
      <c r="P51" s="4"/>
      <c r="Q51" s="4"/>
      <c r="R51" s="4"/>
      <c r="S51" s="4"/>
      <c r="T51" s="4"/>
      <c r="U51" s="4"/>
      <c r="V51" s="4"/>
      <c r="W51" s="4"/>
      <c r="X51" s="4"/>
      <c r="Y51" s="4"/>
      <c r="Z51" s="4"/>
    </row>
    <row r="52" spans="1:26" ht="15.75" customHeight="1">
      <c r="A52" s="498" t="s">
        <v>584</v>
      </c>
      <c r="B52" s="499" t="s">
        <v>523</v>
      </c>
      <c r="C52" s="500" t="s">
        <v>524</v>
      </c>
      <c r="D52" s="501">
        <v>6.88E-2</v>
      </c>
      <c r="E52" s="501">
        <v>0.1487</v>
      </c>
      <c r="F52" s="501">
        <v>0.107</v>
      </c>
      <c r="G52" s="501">
        <v>4.4900000000000002E-2</v>
      </c>
      <c r="H52" s="501">
        <v>0.1115</v>
      </c>
      <c r="I52" s="504">
        <v>6.9800000000000001E-2</v>
      </c>
      <c r="J52" s="4"/>
      <c r="K52" s="4"/>
      <c r="L52" s="4"/>
      <c r="M52" s="4"/>
      <c r="N52" s="4"/>
      <c r="O52" s="4"/>
      <c r="P52" s="4"/>
      <c r="Q52" s="4"/>
      <c r="R52" s="4"/>
      <c r="S52" s="4"/>
      <c r="T52" s="4"/>
      <c r="U52" s="4"/>
      <c r="V52" s="4"/>
      <c r="W52" s="4"/>
      <c r="X52" s="4"/>
      <c r="Y52" s="4"/>
      <c r="Z52" s="4"/>
    </row>
    <row r="53" spans="1:26" ht="15.75" customHeight="1">
      <c r="A53" s="493" t="s">
        <v>585</v>
      </c>
      <c r="B53" s="494" t="s">
        <v>503</v>
      </c>
      <c r="C53" s="495" t="s">
        <v>524</v>
      </c>
      <c r="D53" s="496">
        <v>6.88E-2</v>
      </c>
      <c r="E53" s="496">
        <v>0.1487</v>
      </c>
      <c r="F53" s="496">
        <v>0.107</v>
      </c>
      <c r="G53" s="496">
        <v>3.4200000000000001E-2</v>
      </c>
      <c r="H53" s="496">
        <v>9.4899999999999998E-2</v>
      </c>
      <c r="I53" s="497">
        <v>5.3199999999999997E-2</v>
      </c>
      <c r="J53" s="4"/>
      <c r="K53" s="4"/>
      <c r="L53" s="4"/>
      <c r="M53" s="4"/>
      <c r="N53" s="4"/>
      <c r="O53" s="4"/>
      <c r="P53" s="4"/>
      <c r="Q53" s="4"/>
      <c r="R53" s="4"/>
      <c r="S53" s="4"/>
      <c r="T53" s="4"/>
      <c r="U53" s="4"/>
      <c r="V53" s="4"/>
      <c r="W53" s="4"/>
      <c r="X53" s="4"/>
      <c r="Y53" s="4"/>
      <c r="Z53" s="4"/>
    </row>
    <row r="54" spans="1:26" ht="15.75" customHeight="1">
      <c r="A54" s="498" t="s">
        <v>586</v>
      </c>
      <c r="B54" s="499" t="s">
        <v>523</v>
      </c>
      <c r="C54" s="500" t="s">
        <v>521</v>
      </c>
      <c r="D54" s="501">
        <v>5.96E-2</v>
      </c>
      <c r="E54" s="501">
        <v>0.13439999999999999</v>
      </c>
      <c r="F54" s="501">
        <v>9.2700000000000005E-2</v>
      </c>
      <c r="G54" s="501">
        <v>3.3599999999999998E-2</v>
      </c>
      <c r="H54" s="501">
        <v>9.3899999999999997E-2</v>
      </c>
      <c r="I54" s="504">
        <v>5.2200000000000003E-2</v>
      </c>
      <c r="J54" s="4"/>
      <c r="K54" s="4"/>
      <c r="L54" s="4"/>
      <c r="M54" s="4"/>
      <c r="N54" s="4"/>
      <c r="O54" s="4"/>
      <c r="P54" s="4"/>
      <c r="Q54" s="4"/>
      <c r="R54" s="4"/>
      <c r="S54" s="4"/>
      <c r="T54" s="4"/>
      <c r="U54" s="4"/>
      <c r="V54" s="4"/>
      <c r="W54" s="4"/>
      <c r="X54" s="4"/>
      <c r="Y54" s="4"/>
      <c r="Z54" s="4"/>
    </row>
    <row r="55" spans="1:26" ht="15.75" customHeight="1">
      <c r="A55" s="493" t="s">
        <v>587</v>
      </c>
      <c r="B55" s="494" t="s">
        <v>514</v>
      </c>
      <c r="C55" s="495" t="s">
        <v>544</v>
      </c>
      <c r="D55" s="496">
        <v>6.4999999999999997E-3</v>
      </c>
      <c r="E55" s="496">
        <v>5.1799999999999999E-2</v>
      </c>
      <c r="F55" s="496">
        <v>1.01E-2</v>
      </c>
      <c r="G55" s="496">
        <v>6.4000000000000003E-3</v>
      </c>
      <c r="H55" s="496">
        <v>5.16E-2</v>
      </c>
      <c r="I55" s="497">
        <v>9.9000000000000008E-3</v>
      </c>
      <c r="J55" s="4"/>
      <c r="K55" s="4"/>
      <c r="L55" s="4"/>
      <c r="M55" s="4"/>
      <c r="N55" s="4"/>
      <c r="O55" s="4"/>
      <c r="P55" s="4"/>
      <c r="Q55" s="4"/>
      <c r="R55" s="4"/>
      <c r="S55" s="4"/>
      <c r="T55" s="4"/>
      <c r="U55" s="4"/>
      <c r="V55" s="4"/>
      <c r="W55" s="4"/>
      <c r="X55" s="4"/>
      <c r="Y55" s="4"/>
      <c r="Z55" s="4"/>
    </row>
    <row r="56" spans="1:26" ht="15.75" customHeight="1">
      <c r="A56" s="498" t="s">
        <v>588</v>
      </c>
      <c r="B56" s="499" t="s">
        <v>503</v>
      </c>
      <c r="C56" s="500" t="s">
        <v>550</v>
      </c>
      <c r="D56" s="501">
        <v>9.1800000000000007E-2</v>
      </c>
      <c r="E56" s="501">
        <v>0.18440000000000001</v>
      </c>
      <c r="F56" s="501">
        <v>0.14269999999999999</v>
      </c>
      <c r="G56" s="501">
        <v>0.3306</v>
      </c>
      <c r="H56" s="501">
        <v>0.55559999999999998</v>
      </c>
      <c r="I56" s="504">
        <v>0.51390000000000002</v>
      </c>
      <c r="J56" s="4"/>
      <c r="K56" s="4"/>
      <c r="L56" s="4"/>
      <c r="M56" s="4"/>
      <c r="N56" s="4"/>
      <c r="O56" s="4"/>
      <c r="P56" s="4"/>
      <c r="Q56" s="4"/>
      <c r="R56" s="4"/>
      <c r="S56" s="4"/>
      <c r="T56" s="4"/>
      <c r="U56" s="4"/>
      <c r="V56" s="4"/>
      <c r="W56" s="4"/>
      <c r="X56" s="4"/>
      <c r="Y56" s="4"/>
      <c r="Z56" s="4"/>
    </row>
    <row r="57" spans="1:26" ht="15.75" customHeight="1">
      <c r="A57" s="493" t="s">
        <v>589</v>
      </c>
      <c r="B57" s="494" t="s">
        <v>539</v>
      </c>
      <c r="C57" s="495" t="s">
        <v>547</v>
      </c>
      <c r="D57" s="496">
        <v>4.1300000000000003E-2</v>
      </c>
      <c r="E57" s="496">
        <v>0.10589999999999999</v>
      </c>
      <c r="F57" s="496">
        <v>6.4199999999999993E-2</v>
      </c>
      <c r="G57" s="495" t="s">
        <v>516</v>
      </c>
      <c r="H57" s="495" t="s">
        <v>516</v>
      </c>
      <c r="I57" s="503" t="s">
        <v>516</v>
      </c>
      <c r="J57" s="4"/>
      <c r="K57" s="4"/>
      <c r="L57" s="4"/>
      <c r="M57" s="4"/>
      <c r="N57" s="4"/>
      <c r="O57" s="4"/>
      <c r="P57" s="4"/>
      <c r="Q57" s="4"/>
      <c r="R57" s="4"/>
      <c r="S57" s="4"/>
      <c r="T57" s="4"/>
      <c r="U57" s="4"/>
      <c r="V57" s="4"/>
      <c r="W57" s="4"/>
      <c r="X57" s="4"/>
      <c r="Y57" s="4"/>
      <c r="Z57" s="4"/>
    </row>
    <row r="58" spans="1:26" ht="15.75" customHeight="1">
      <c r="A58" s="498" t="s">
        <v>590</v>
      </c>
      <c r="B58" s="499" t="s">
        <v>518</v>
      </c>
      <c r="C58" s="500" t="s">
        <v>533</v>
      </c>
      <c r="D58" s="501">
        <v>2.5000000000000001E-3</v>
      </c>
      <c r="E58" s="501">
        <v>4.5600000000000002E-2</v>
      </c>
      <c r="F58" s="501">
        <v>3.8999999999999998E-3</v>
      </c>
      <c r="G58" s="501">
        <v>1.1000000000000001E-3</v>
      </c>
      <c r="H58" s="501">
        <v>4.3400000000000001E-2</v>
      </c>
      <c r="I58" s="504">
        <v>1.6999999999999999E-3</v>
      </c>
      <c r="J58" s="4"/>
      <c r="K58" s="4"/>
      <c r="L58" s="4"/>
      <c r="M58" s="4"/>
      <c r="N58" s="4"/>
      <c r="O58" s="4"/>
      <c r="P58" s="4"/>
      <c r="Q58" s="4"/>
      <c r="R58" s="4"/>
      <c r="S58" s="4"/>
      <c r="T58" s="4"/>
      <c r="U58" s="4"/>
      <c r="V58" s="4"/>
      <c r="W58" s="4"/>
      <c r="X58" s="4"/>
      <c r="Y58" s="4"/>
      <c r="Z58" s="4"/>
    </row>
    <row r="59" spans="1:26" ht="15.75" customHeight="1">
      <c r="A59" s="493" t="s">
        <v>591</v>
      </c>
      <c r="B59" s="494" t="s">
        <v>518</v>
      </c>
      <c r="C59" s="495" t="s">
        <v>563</v>
      </c>
      <c r="D59" s="496">
        <v>5.4999999999999997E-3</v>
      </c>
      <c r="E59" s="496">
        <v>5.0299999999999997E-2</v>
      </c>
      <c r="F59" s="496">
        <v>8.6E-3</v>
      </c>
      <c r="G59" s="496">
        <v>4.5999999999999999E-3</v>
      </c>
      <c r="H59" s="496">
        <v>4.8899999999999999E-2</v>
      </c>
      <c r="I59" s="497">
        <v>7.1999999999999998E-3</v>
      </c>
      <c r="J59" s="4"/>
      <c r="K59" s="4"/>
      <c r="L59" s="4"/>
      <c r="M59" s="4"/>
      <c r="N59" s="4"/>
      <c r="O59" s="4"/>
      <c r="P59" s="4"/>
      <c r="Q59" s="4"/>
      <c r="R59" s="4"/>
      <c r="S59" s="4"/>
      <c r="T59" s="4"/>
      <c r="U59" s="4"/>
      <c r="V59" s="4"/>
      <c r="W59" s="4"/>
      <c r="X59" s="4"/>
      <c r="Y59" s="4"/>
      <c r="Z59" s="4"/>
    </row>
    <row r="60" spans="1:26" ht="15.75" customHeight="1">
      <c r="A60" s="498" t="s">
        <v>592</v>
      </c>
      <c r="B60" s="499" t="s">
        <v>503</v>
      </c>
      <c r="C60" s="500" t="s">
        <v>570</v>
      </c>
      <c r="D60" s="501">
        <v>8.2600000000000007E-2</v>
      </c>
      <c r="E60" s="501">
        <v>0.1701</v>
      </c>
      <c r="F60" s="501">
        <v>0.12839999999999999</v>
      </c>
      <c r="G60" s="500" t="s">
        <v>516</v>
      </c>
      <c r="H60" s="500" t="s">
        <v>516</v>
      </c>
      <c r="I60" s="502" t="s">
        <v>516</v>
      </c>
      <c r="J60" s="4"/>
      <c r="K60" s="4"/>
      <c r="L60" s="4"/>
      <c r="M60" s="4"/>
      <c r="N60" s="4"/>
      <c r="O60" s="4"/>
      <c r="P60" s="4"/>
      <c r="Q60" s="4"/>
      <c r="R60" s="4"/>
      <c r="S60" s="4"/>
      <c r="T60" s="4"/>
      <c r="U60" s="4"/>
      <c r="V60" s="4"/>
      <c r="W60" s="4"/>
      <c r="X60" s="4"/>
      <c r="Y60" s="4"/>
      <c r="Z60" s="4"/>
    </row>
    <row r="61" spans="1:26" ht="15.75" customHeight="1">
      <c r="A61" s="493" t="s">
        <v>593</v>
      </c>
      <c r="B61" s="494" t="s">
        <v>514</v>
      </c>
      <c r="C61" s="495" t="s">
        <v>574</v>
      </c>
      <c r="D61" s="496">
        <v>2.76E-2</v>
      </c>
      <c r="E61" s="496">
        <v>8.4599999999999995E-2</v>
      </c>
      <c r="F61" s="496">
        <v>4.2900000000000001E-2</v>
      </c>
      <c r="G61" s="495" t="s">
        <v>516</v>
      </c>
      <c r="H61" s="495" t="s">
        <v>516</v>
      </c>
      <c r="I61" s="503" t="s">
        <v>516</v>
      </c>
      <c r="J61" s="4"/>
      <c r="K61" s="4"/>
      <c r="L61" s="4"/>
      <c r="M61" s="4"/>
      <c r="N61" s="4"/>
      <c r="O61" s="4"/>
      <c r="P61" s="4"/>
      <c r="Q61" s="4"/>
      <c r="R61" s="4"/>
      <c r="S61" s="4"/>
      <c r="T61" s="4"/>
      <c r="U61" s="4"/>
      <c r="V61" s="4"/>
      <c r="W61" s="4"/>
      <c r="X61" s="4"/>
      <c r="Y61" s="4"/>
      <c r="Z61" s="4"/>
    </row>
    <row r="62" spans="1:26" ht="15.75" customHeight="1">
      <c r="A62" s="498" t="s">
        <v>594</v>
      </c>
      <c r="B62" s="499" t="s">
        <v>518</v>
      </c>
      <c r="C62" s="500" t="s">
        <v>531</v>
      </c>
      <c r="D62" s="501">
        <v>0</v>
      </c>
      <c r="E62" s="501">
        <v>4.1700000000000001E-2</v>
      </c>
      <c r="F62" s="501">
        <v>0</v>
      </c>
      <c r="G62" s="501">
        <v>5.9999999999999995E-4</v>
      </c>
      <c r="H62" s="501">
        <v>4.2599999999999999E-2</v>
      </c>
      <c r="I62" s="504">
        <v>8.9999999999999998E-4</v>
      </c>
      <c r="J62" s="4"/>
      <c r="K62" s="4"/>
      <c r="L62" s="4"/>
      <c r="M62" s="4"/>
      <c r="N62" s="4"/>
      <c r="O62" s="4"/>
      <c r="P62" s="4"/>
      <c r="Q62" s="4"/>
      <c r="R62" s="4"/>
      <c r="S62" s="4"/>
      <c r="T62" s="4"/>
      <c r="U62" s="4"/>
      <c r="V62" s="4"/>
      <c r="W62" s="4"/>
      <c r="X62" s="4"/>
      <c r="Y62" s="4"/>
      <c r="Z62" s="4"/>
    </row>
    <row r="63" spans="1:26" ht="15.75" customHeight="1">
      <c r="A63" s="493" t="s">
        <v>595</v>
      </c>
      <c r="B63" s="494" t="s">
        <v>503</v>
      </c>
      <c r="C63" s="495" t="s">
        <v>524</v>
      </c>
      <c r="D63" s="496">
        <v>6.88E-2</v>
      </c>
      <c r="E63" s="496">
        <v>0.1487</v>
      </c>
      <c r="F63" s="496">
        <v>0.107</v>
      </c>
      <c r="G63" s="495" t="s">
        <v>516</v>
      </c>
      <c r="H63" s="495" t="s">
        <v>516</v>
      </c>
      <c r="I63" s="503" t="s">
        <v>516</v>
      </c>
      <c r="J63" s="4"/>
      <c r="K63" s="4"/>
      <c r="L63" s="4"/>
      <c r="M63" s="4"/>
      <c r="N63" s="4"/>
      <c r="O63" s="4"/>
      <c r="P63" s="4"/>
      <c r="Q63" s="4"/>
      <c r="R63" s="4"/>
      <c r="S63" s="4"/>
      <c r="T63" s="4"/>
      <c r="U63" s="4"/>
      <c r="V63" s="4"/>
      <c r="W63" s="4"/>
      <c r="X63" s="4"/>
      <c r="Y63" s="4"/>
      <c r="Z63" s="4"/>
    </row>
    <row r="64" spans="1:26" ht="15.75" customHeight="1">
      <c r="A64" s="498" t="s">
        <v>596</v>
      </c>
      <c r="B64" s="499" t="s">
        <v>518</v>
      </c>
      <c r="C64" s="500" t="s">
        <v>528</v>
      </c>
      <c r="D64" s="501">
        <v>2.0199999999999999E-2</v>
      </c>
      <c r="E64" s="501">
        <v>7.3099999999999998E-2</v>
      </c>
      <c r="F64" s="501">
        <v>3.1399999999999997E-2</v>
      </c>
      <c r="G64" s="501">
        <v>5.0000000000000001E-3</v>
      </c>
      <c r="H64" s="501">
        <v>4.9500000000000002E-2</v>
      </c>
      <c r="I64" s="504">
        <v>7.7999999999999996E-3</v>
      </c>
      <c r="J64" s="4"/>
      <c r="K64" s="4"/>
      <c r="L64" s="4"/>
      <c r="M64" s="4"/>
      <c r="N64" s="4"/>
      <c r="O64" s="4"/>
      <c r="P64" s="4"/>
      <c r="Q64" s="4"/>
      <c r="R64" s="4"/>
      <c r="S64" s="4"/>
      <c r="T64" s="4"/>
      <c r="U64" s="4"/>
      <c r="V64" s="4"/>
      <c r="W64" s="4"/>
      <c r="X64" s="4"/>
      <c r="Y64" s="4"/>
      <c r="Z64" s="4"/>
    </row>
    <row r="65" spans="1:26" ht="15.75" customHeight="1">
      <c r="A65" s="493" t="s">
        <v>597</v>
      </c>
      <c r="B65" s="494" t="s">
        <v>523</v>
      </c>
      <c r="C65" s="495" t="s">
        <v>554</v>
      </c>
      <c r="D65" s="496">
        <v>2.3E-2</v>
      </c>
      <c r="E65" s="496">
        <v>7.7399999999999997E-2</v>
      </c>
      <c r="F65" s="496">
        <v>3.5700000000000003E-2</v>
      </c>
      <c r="G65" s="495" t="s">
        <v>516</v>
      </c>
      <c r="H65" s="495" t="s">
        <v>516</v>
      </c>
      <c r="I65" s="503" t="s">
        <v>516</v>
      </c>
      <c r="J65" s="4"/>
      <c r="K65" s="4"/>
      <c r="L65" s="4"/>
      <c r="M65" s="4"/>
      <c r="N65" s="4"/>
      <c r="O65" s="4"/>
      <c r="P65" s="4"/>
      <c r="Q65" s="4"/>
      <c r="R65" s="4"/>
      <c r="S65" s="4"/>
      <c r="T65" s="4"/>
      <c r="U65" s="4"/>
      <c r="V65" s="4"/>
      <c r="W65" s="4"/>
      <c r="X65" s="4"/>
      <c r="Y65" s="4"/>
      <c r="Z65" s="4"/>
    </row>
    <row r="66" spans="1:26" ht="15.75" customHeight="1">
      <c r="A66" s="498" t="s">
        <v>598</v>
      </c>
      <c r="B66" s="499" t="s">
        <v>518</v>
      </c>
      <c r="C66" s="500" t="s">
        <v>544</v>
      </c>
      <c r="D66" s="501">
        <v>6.4999999999999997E-3</v>
      </c>
      <c r="E66" s="501">
        <v>5.1799999999999999E-2</v>
      </c>
      <c r="F66" s="501">
        <v>1.01E-2</v>
      </c>
      <c r="G66" s="500" t="s">
        <v>516</v>
      </c>
      <c r="H66" s="500" t="s">
        <v>516</v>
      </c>
      <c r="I66" s="502" t="s">
        <v>516</v>
      </c>
      <c r="J66" s="4"/>
      <c r="K66" s="4"/>
      <c r="L66" s="4"/>
      <c r="M66" s="4"/>
      <c r="N66" s="4"/>
      <c r="O66" s="4"/>
      <c r="P66" s="4"/>
      <c r="Q66" s="4"/>
      <c r="R66" s="4"/>
      <c r="S66" s="4"/>
      <c r="T66" s="4"/>
      <c r="U66" s="4"/>
      <c r="V66" s="4"/>
      <c r="W66" s="4"/>
      <c r="X66" s="4"/>
      <c r="Y66" s="4"/>
      <c r="Z66" s="4"/>
    </row>
    <row r="67" spans="1:26" ht="15.75" customHeight="1">
      <c r="A67" s="493" t="s">
        <v>599</v>
      </c>
      <c r="B67" s="494" t="s">
        <v>523</v>
      </c>
      <c r="C67" s="495" t="s">
        <v>547</v>
      </c>
      <c r="D67" s="496">
        <v>4.1300000000000003E-2</v>
      </c>
      <c r="E67" s="496">
        <v>0.10589999999999999</v>
      </c>
      <c r="F67" s="496">
        <v>6.4199999999999993E-2</v>
      </c>
      <c r="G67" s="495" t="s">
        <v>516</v>
      </c>
      <c r="H67" s="495" t="s">
        <v>516</v>
      </c>
      <c r="I67" s="503" t="s">
        <v>516</v>
      </c>
      <c r="J67" s="4"/>
      <c r="K67" s="4"/>
      <c r="L67" s="4"/>
      <c r="M67" s="4"/>
      <c r="N67" s="4"/>
      <c r="O67" s="4"/>
      <c r="P67" s="4"/>
      <c r="Q67" s="4"/>
      <c r="R67" s="4"/>
      <c r="S67" s="4"/>
      <c r="T67" s="4"/>
      <c r="U67" s="4"/>
      <c r="V67" s="4"/>
      <c r="W67" s="4"/>
      <c r="X67" s="4"/>
      <c r="Y67" s="4"/>
      <c r="Z67" s="4"/>
    </row>
    <row r="68" spans="1:26" ht="15.75" customHeight="1">
      <c r="A68" s="498" t="s">
        <v>600</v>
      </c>
      <c r="B68" s="499" t="s">
        <v>539</v>
      </c>
      <c r="C68" s="500" t="s">
        <v>563</v>
      </c>
      <c r="D68" s="501">
        <v>5.4999999999999997E-3</v>
      </c>
      <c r="E68" s="501">
        <v>5.0299999999999997E-2</v>
      </c>
      <c r="F68" s="501">
        <v>8.6E-3</v>
      </c>
      <c r="G68" s="501">
        <v>2.5000000000000001E-3</v>
      </c>
      <c r="H68" s="501">
        <v>4.5600000000000002E-2</v>
      </c>
      <c r="I68" s="504">
        <v>3.8999999999999998E-3</v>
      </c>
      <c r="J68" s="4"/>
      <c r="K68" s="4"/>
      <c r="L68" s="4"/>
      <c r="M68" s="4"/>
      <c r="N68" s="4"/>
      <c r="O68" s="4"/>
      <c r="P68" s="4"/>
      <c r="Q68" s="4"/>
      <c r="R68" s="4"/>
      <c r="S68" s="4"/>
      <c r="T68" s="4"/>
      <c r="U68" s="4"/>
      <c r="V68" s="4"/>
      <c r="W68" s="4"/>
      <c r="X68" s="4"/>
      <c r="Y68" s="4"/>
      <c r="Z68" s="4"/>
    </row>
    <row r="69" spans="1:26" ht="15.75" customHeight="1">
      <c r="A69" s="493" t="s">
        <v>601</v>
      </c>
      <c r="B69" s="494" t="s">
        <v>514</v>
      </c>
      <c r="C69" s="495" t="s">
        <v>602</v>
      </c>
      <c r="D69" s="496">
        <v>1.7500000000000002E-2</v>
      </c>
      <c r="E69" s="496">
        <v>6.8900000000000003E-2</v>
      </c>
      <c r="F69" s="496">
        <v>2.7199999999999998E-2</v>
      </c>
      <c r="G69" s="496">
        <v>1.0699999999999999E-2</v>
      </c>
      <c r="H69" s="496">
        <v>5.8299999999999998E-2</v>
      </c>
      <c r="I69" s="497">
        <v>1.66E-2</v>
      </c>
      <c r="J69" s="4"/>
      <c r="K69" s="4"/>
      <c r="L69" s="4"/>
      <c r="M69" s="4"/>
      <c r="N69" s="4"/>
      <c r="O69" s="4"/>
      <c r="P69" s="4"/>
      <c r="Q69" s="4"/>
      <c r="R69" s="4"/>
      <c r="S69" s="4"/>
      <c r="T69" s="4"/>
      <c r="U69" s="4"/>
      <c r="V69" s="4"/>
      <c r="W69" s="4"/>
      <c r="X69" s="4"/>
      <c r="Y69" s="4"/>
      <c r="Z69" s="4"/>
    </row>
    <row r="70" spans="1:26" ht="15.75" customHeight="1">
      <c r="A70" s="498" t="s">
        <v>603</v>
      </c>
      <c r="B70" s="499" t="s">
        <v>518</v>
      </c>
      <c r="C70" s="500" t="s">
        <v>544</v>
      </c>
      <c r="D70" s="501">
        <v>6.4999999999999997E-3</v>
      </c>
      <c r="E70" s="501">
        <v>5.1799999999999999E-2</v>
      </c>
      <c r="F70" s="501">
        <v>1.01E-2</v>
      </c>
      <c r="G70" s="501">
        <v>4.5999999999999999E-3</v>
      </c>
      <c r="H70" s="501">
        <v>4.8899999999999999E-2</v>
      </c>
      <c r="I70" s="504">
        <v>7.1999999999999998E-3</v>
      </c>
      <c r="J70" s="4"/>
      <c r="K70" s="4"/>
      <c r="L70" s="4"/>
      <c r="M70" s="4"/>
      <c r="N70" s="4"/>
      <c r="O70" s="4"/>
      <c r="P70" s="4"/>
      <c r="Q70" s="4"/>
      <c r="R70" s="4"/>
      <c r="S70" s="4"/>
      <c r="T70" s="4"/>
      <c r="U70" s="4"/>
      <c r="V70" s="4"/>
      <c r="W70" s="4"/>
      <c r="X70" s="4"/>
      <c r="Y70" s="4"/>
      <c r="Z70" s="4"/>
    </row>
    <row r="71" spans="1:26" ht="15.75" customHeight="1">
      <c r="A71" s="493" t="s">
        <v>604</v>
      </c>
      <c r="B71" s="494" t="s">
        <v>539</v>
      </c>
      <c r="C71" s="495" t="s">
        <v>528</v>
      </c>
      <c r="D71" s="496">
        <v>2.0199999999999999E-2</v>
      </c>
      <c r="E71" s="496">
        <v>7.3099999999999998E-2</v>
      </c>
      <c r="F71" s="496">
        <v>3.1399999999999997E-2</v>
      </c>
      <c r="G71" s="496">
        <v>7.1999999999999998E-3</v>
      </c>
      <c r="H71" s="496">
        <v>5.2900000000000003E-2</v>
      </c>
      <c r="I71" s="497">
        <v>1.12E-2</v>
      </c>
      <c r="J71" s="4"/>
      <c r="K71" s="4"/>
      <c r="L71" s="4"/>
      <c r="M71" s="4"/>
      <c r="N71" s="4"/>
      <c r="O71" s="4"/>
      <c r="P71" s="4"/>
      <c r="Q71" s="4"/>
      <c r="R71" s="4"/>
      <c r="S71" s="4"/>
      <c r="T71" s="4"/>
      <c r="U71" s="4"/>
      <c r="V71" s="4"/>
      <c r="W71" s="4"/>
      <c r="X71" s="4"/>
      <c r="Y71" s="4"/>
      <c r="Z71" s="4"/>
    </row>
    <row r="72" spans="1:26" ht="15.75" customHeight="1">
      <c r="A72" s="498" t="s">
        <v>605</v>
      </c>
      <c r="B72" s="499" t="s">
        <v>539</v>
      </c>
      <c r="C72" s="500" t="s">
        <v>602</v>
      </c>
      <c r="D72" s="501">
        <v>1.7500000000000002E-2</v>
      </c>
      <c r="E72" s="501">
        <v>6.8900000000000003E-2</v>
      </c>
      <c r="F72" s="501">
        <v>2.7199999999999998E-2</v>
      </c>
      <c r="G72" s="501">
        <v>1.2999999999999999E-2</v>
      </c>
      <c r="H72" s="501">
        <v>6.1899999999999997E-2</v>
      </c>
      <c r="I72" s="504">
        <v>2.0199999999999999E-2</v>
      </c>
      <c r="J72" s="4"/>
      <c r="K72" s="4"/>
      <c r="L72" s="4"/>
      <c r="M72" s="4"/>
      <c r="N72" s="4"/>
      <c r="O72" s="4"/>
      <c r="P72" s="4"/>
      <c r="Q72" s="4"/>
      <c r="R72" s="4"/>
      <c r="S72" s="4"/>
      <c r="T72" s="4"/>
      <c r="U72" s="4"/>
      <c r="V72" s="4"/>
      <c r="W72" s="4"/>
      <c r="X72" s="4"/>
      <c r="Y72" s="4"/>
      <c r="Z72" s="4"/>
    </row>
    <row r="73" spans="1:26" ht="15.75" customHeight="1">
      <c r="A73" s="493" t="s">
        <v>606</v>
      </c>
      <c r="B73" s="494" t="s">
        <v>511</v>
      </c>
      <c r="C73" s="495" t="s">
        <v>524</v>
      </c>
      <c r="D73" s="496">
        <v>6.88E-2</v>
      </c>
      <c r="E73" s="496">
        <v>0.1487</v>
      </c>
      <c r="F73" s="496">
        <v>0.107</v>
      </c>
      <c r="G73" s="496">
        <v>3.73E-2</v>
      </c>
      <c r="H73" s="496">
        <v>9.9699999999999997E-2</v>
      </c>
      <c r="I73" s="497">
        <v>5.8000000000000003E-2</v>
      </c>
      <c r="J73" s="4"/>
      <c r="K73" s="4"/>
      <c r="L73" s="4"/>
      <c r="M73" s="4"/>
      <c r="N73" s="4"/>
      <c r="O73" s="4"/>
      <c r="P73" s="4"/>
      <c r="Q73" s="4"/>
      <c r="R73" s="4"/>
      <c r="S73" s="4"/>
      <c r="T73" s="4"/>
      <c r="U73" s="4"/>
      <c r="V73" s="4"/>
      <c r="W73" s="4"/>
      <c r="X73" s="4"/>
      <c r="Y73" s="4"/>
      <c r="Z73" s="4"/>
    </row>
    <row r="74" spans="1:26" ht="15.75" customHeight="1">
      <c r="A74" s="498" t="s">
        <v>607</v>
      </c>
      <c r="B74" s="499" t="s">
        <v>518</v>
      </c>
      <c r="C74" s="500" t="s">
        <v>563</v>
      </c>
      <c r="D74" s="501">
        <v>5.4999999999999997E-3</v>
      </c>
      <c r="E74" s="501">
        <v>5.0299999999999997E-2</v>
      </c>
      <c r="F74" s="501">
        <v>8.6E-3</v>
      </c>
      <c r="G74" s="501">
        <v>1.8E-3</v>
      </c>
      <c r="H74" s="501">
        <v>4.4499999999999998E-2</v>
      </c>
      <c r="I74" s="504">
        <v>2.8E-3</v>
      </c>
      <c r="J74" s="4"/>
      <c r="K74" s="4"/>
      <c r="L74" s="4"/>
      <c r="M74" s="4"/>
      <c r="N74" s="4"/>
      <c r="O74" s="4"/>
      <c r="P74" s="4"/>
      <c r="Q74" s="4"/>
      <c r="R74" s="4"/>
      <c r="S74" s="4"/>
      <c r="T74" s="4"/>
      <c r="U74" s="4"/>
      <c r="V74" s="4"/>
      <c r="W74" s="4"/>
      <c r="X74" s="4"/>
      <c r="Y74" s="4"/>
      <c r="Z74" s="4"/>
    </row>
    <row r="75" spans="1:26" ht="15.75" customHeight="1">
      <c r="A75" s="493" t="s">
        <v>608</v>
      </c>
      <c r="B75" s="494" t="s">
        <v>518</v>
      </c>
      <c r="C75" s="495" t="s">
        <v>563</v>
      </c>
      <c r="D75" s="496">
        <v>5.4999999999999997E-3</v>
      </c>
      <c r="E75" s="496">
        <v>5.0299999999999997E-2</v>
      </c>
      <c r="F75" s="496">
        <v>8.6E-3</v>
      </c>
      <c r="G75" s="495" t="s">
        <v>516</v>
      </c>
      <c r="H75" s="495" t="s">
        <v>516</v>
      </c>
      <c r="I75" s="503" t="s">
        <v>516</v>
      </c>
      <c r="J75" s="4"/>
      <c r="K75" s="4"/>
      <c r="L75" s="4"/>
      <c r="M75" s="4"/>
      <c r="N75" s="4"/>
      <c r="O75" s="4"/>
      <c r="P75" s="4"/>
      <c r="Q75" s="4"/>
      <c r="R75" s="4"/>
      <c r="S75" s="4"/>
      <c r="T75" s="4"/>
      <c r="U75" s="4"/>
      <c r="V75" s="4"/>
      <c r="W75" s="4"/>
      <c r="X75" s="4"/>
      <c r="Y75" s="4"/>
      <c r="Z75" s="4"/>
    </row>
    <row r="76" spans="1:26" ht="15.75" customHeight="1">
      <c r="A76" s="498" t="s">
        <v>609</v>
      </c>
      <c r="B76" s="499" t="s">
        <v>511</v>
      </c>
      <c r="C76" s="500" t="s">
        <v>519</v>
      </c>
      <c r="D76" s="501">
        <v>1.47E-2</v>
      </c>
      <c r="E76" s="501">
        <v>6.4500000000000002E-2</v>
      </c>
      <c r="F76" s="501">
        <v>2.2800000000000001E-2</v>
      </c>
      <c r="G76" s="501">
        <v>8.6E-3</v>
      </c>
      <c r="H76" s="501">
        <v>5.5100000000000003E-2</v>
      </c>
      <c r="I76" s="504">
        <v>1.34E-2</v>
      </c>
      <c r="J76" s="4"/>
      <c r="K76" s="4"/>
      <c r="L76" s="4"/>
      <c r="M76" s="4"/>
      <c r="N76" s="4"/>
      <c r="O76" s="4"/>
      <c r="P76" s="4"/>
      <c r="Q76" s="4"/>
      <c r="R76" s="4"/>
      <c r="S76" s="4"/>
      <c r="T76" s="4"/>
      <c r="U76" s="4"/>
      <c r="V76" s="4"/>
      <c r="W76" s="4"/>
      <c r="X76" s="4"/>
      <c r="Y76" s="4"/>
      <c r="Z76" s="4"/>
    </row>
    <row r="77" spans="1:26" ht="15.75" customHeight="1">
      <c r="A77" s="493" t="s">
        <v>610</v>
      </c>
      <c r="B77" s="494" t="s">
        <v>518</v>
      </c>
      <c r="C77" s="495" t="s">
        <v>602</v>
      </c>
      <c r="D77" s="496">
        <v>1.7500000000000002E-2</v>
      </c>
      <c r="E77" s="496">
        <v>6.8900000000000003E-2</v>
      </c>
      <c r="F77" s="496">
        <v>2.7199999999999998E-2</v>
      </c>
      <c r="G77" s="496">
        <v>4.7999999999999996E-3</v>
      </c>
      <c r="H77" s="496">
        <v>4.9200000000000001E-2</v>
      </c>
      <c r="I77" s="497">
        <v>7.4999999999999997E-3</v>
      </c>
      <c r="J77" s="4"/>
      <c r="K77" s="4"/>
      <c r="L77" s="4"/>
      <c r="M77" s="4"/>
      <c r="N77" s="4"/>
      <c r="O77" s="4"/>
      <c r="P77" s="4"/>
      <c r="Q77" s="4"/>
      <c r="R77" s="4"/>
      <c r="S77" s="4"/>
      <c r="T77" s="4"/>
      <c r="U77" s="4"/>
      <c r="V77" s="4"/>
      <c r="W77" s="4"/>
      <c r="X77" s="4"/>
      <c r="Y77" s="4"/>
      <c r="Z77" s="4"/>
    </row>
    <row r="78" spans="1:26" ht="15.75" customHeight="1">
      <c r="A78" s="498" t="s">
        <v>611</v>
      </c>
      <c r="B78" s="499" t="s">
        <v>527</v>
      </c>
      <c r="C78" s="500" t="s">
        <v>515</v>
      </c>
      <c r="D78" s="501">
        <v>3.3000000000000002E-2</v>
      </c>
      <c r="E78" s="501">
        <v>9.2999999999999999E-2</v>
      </c>
      <c r="F78" s="501">
        <v>5.1299999999999998E-2</v>
      </c>
      <c r="G78" s="500" t="s">
        <v>516</v>
      </c>
      <c r="H78" s="500" t="s">
        <v>516</v>
      </c>
      <c r="I78" s="502" t="s">
        <v>516</v>
      </c>
      <c r="J78" s="4"/>
      <c r="K78" s="4"/>
      <c r="L78" s="4"/>
      <c r="M78" s="4"/>
      <c r="N78" s="4"/>
      <c r="O78" s="4"/>
      <c r="P78" s="4"/>
      <c r="Q78" s="4"/>
      <c r="R78" s="4"/>
      <c r="S78" s="4"/>
      <c r="T78" s="4"/>
      <c r="U78" s="4"/>
      <c r="V78" s="4"/>
      <c r="W78" s="4"/>
      <c r="X78" s="4"/>
      <c r="Y78" s="4"/>
      <c r="Z78" s="4"/>
    </row>
    <row r="79" spans="1:26" ht="15.75" customHeight="1">
      <c r="A79" s="493" t="s">
        <v>612</v>
      </c>
      <c r="B79" s="494" t="s">
        <v>539</v>
      </c>
      <c r="C79" s="495" t="s">
        <v>544</v>
      </c>
      <c r="D79" s="496">
        <v>6.4999999999999997E-3</v>
      </c>
      <c r="E79" s="496">
        <v>5.1799999999999999E-2</v>
      </c>
      <c r="F79" s="496">
        <v>1.01E-2</v>
      </c>
      <c r="G79" s="496">
        <v>3.5999999999999999E-3</v>
      </c>
      <c r="H79" s="496">
        <v>4.7300000000000002E-2</v>
      </c>
      <c r="I79" s="497">
        <v>5.5999999999999999E-3</v>
      </c>
      <c r="J79" s="4"/>
      <c r="K79" s="4"/>
      <c r="L79" s="4"/>
      <c r="M79" s="4"/>
      <c r="N79" s="4"/>
      <c r="O79" s="4"/>
      <c r="P79" s="4"/>
      <c r="Q79" s="4"/>
      <c r="R79" s="4"/>
      <c r="S79" s="4"/>
      <c r="T79" s="4"/>
      <c r="U79" s="4"/>
      <c r="V79" s="4"/>
      <c r="W79" s="4"/>
      <c r="X79" s="4"/>
      <c r="Y79" s="4"/>
      <c r="Z79" s="4"/>
    </row>
    <row r="80" spans="1:26" ht="15.75" customHeight="1">
      <c r="A80" s="498" t="s">
        <v>613</v>
      </c>
      <c r="B80" s="499" t="s">
        <v>518</v>
      </c>
      <c r="C80" s="500" t="s">
        <v>563</v>
      </c>
      <c r="D80" s="501">
        <v>5.4999999999999997E-3</v>
      </c>
      <c r="E80" s="501">
        <v>5.0299999999999997E-2</v>
      </c>
      <c r="F80" s="501">
        <v>8.6E-3</v>
      </c>
      <c r="G80" s="500" t="s">
        <v>516</v>
      </c>
      <c r="H80" s="500" t="s">
        <v>516</v>
      </c>
      <c r="I80" s="502" t="s">
        <v>516</v>
      </c>
      <c r="J80" s="4"/>
      <c r="K80" s="4"/>
      <c r="L80" s="4"/>
      <c r="M80" s="4"/>
      <c r="N80" s="4"/>
      <c r="O80" s="4"/>
      <c r="P80" s="4"/>
      <c r="Q80" s="4"/>
      <c r="R80" s="4"/>
      <c r="S80" s="4"/>
      <c r="T80" s="4"/>
      <c r="U80" s="4"/>
      <c r="V80" s="4"/>
      <c r="W80" s="4"/>
      <c r="X80" s="4"/>
      <c r="Y80" s="4"/>
      <c r="Z80" s="4"/>
    </row>
    <row r="81" spans="1:26" ht="15.75" customHeight="1">
      <c r="A81" s="493" t="s">
        <v>614</v>
      </c>
      <c r="B81" s="494" t="s">
        <v>511</v>
      </c>
      <c r="C81" s="495" t="s">
        <v>515</v>
      </c>
      <c r="D81" s="496">
        <v>3.3000000000000002E-2</v>
      </c>
      <c r="E81" s="496">
        <v>9.2999999999999999E-2</v>
      </c>
      <c r="F81" s="496">
        <v>5.1299999999999998E-2</v>
      </c>
      <c r="G81" s="495" t="s">
        <v>516</v>
      </c>
      <c r="H81" s="495" t="s">
        <v>516</v>
      </c>
      <c r="I81" s="503" t="s">
        <v>516</v>
      </c>
      <c r="J81" s="4"/>
      <c r="K81" s="4"/>
      <c r="L81" s="4"/>
      <c r="M81" s="4"/>
      <c r="N81" s="4"/>
      <c r="O81" s="4"/>
      <c r="P81" s="4"/>
      <c r="Q81" s="4"/>
      <c r="R81" s="4"/>
      <c r="S81" s="4"/>
      <c r="T81" s="4"/>
      <c r="U81" s="4"/>
      <c r="V81" s="4"/>
      <c r="W81" s="4"/>
      <c r="X81" s="4"/>
      <c r="Y81" s="4"/>
      <c r="Z81" s="4"/>
    </row>
    <row r="82" spans="1:26" ht="15.75" customHeight="1">
      <c r="A82" s="498" t="s">
        <v>615</v>
      </c>
      <c r="B82" s="499" t="s">
        <v>514</v>
      </c>
      <c r="C82" s="500" t="s">
        <v>519</v>
      </c>
      <c r="D82" s="501">
        <v>1.47E-2</v>
      </c>
      <c r="E82" s="501">
        <v>6.4500000000000002E-2</v>
      </c>
      <c r="F82" s="501">
        <v>2.2800000000000001E-2</v>
      </c>
      <c r="G82" s="501">
        <v>1.09E-2</v>
      </c>
      <c r="H82" s="501">
        <v>5.8599999999999999E-2</v>
      </c>
      <c r="I82" s="504">
        <v>1.6899999999999998E-2</v>
      </c>
      <c r="J82" s="4"/>
      <c r="K82" s="4"/>
      <c r="L82" s="4"/>
      <c r="M82" s="4"/>
      <c r="N82" s="4"/>
      <c r="O82" s="4"/>
      <c r="P82" s="4"/>
      <c r="Q82" s="4"/>
      <c r="R82" s="4"/>
      <c r="S82" s="4"/>
      <c r="T82" s="4"/>
      <c r="U82" s="4"/>
      <c r="V82" s="4"/>
      <c r="W82" s="4"/>
      <c r="X82" s="4"/>
      <c r="Y82" s="4"/>
      <c r="Z82" s="4"/>
    </row>
    <row r="83" spans="1:26" ht="15.75" customHeight="1">
      <c r="A83" s="493" t="s">
        <v>616</v>
      </c>
      <c r="B83" s="494" t="s">
        <v>503</v>
      </c>
      <c r="C83" s="495" t="s">
        <v>521</v>
      </c>
      <c r="D83" s="496">
        <v>5.96E-2</v>
      </c>
      <c r="E83" s="496">
        <v>0.13439999999999999</v>
      </c>
      <c r="F83" s="496">
        <v>9.2700000000000005E-2</v>
      </c>
      <c r="G83" s="496">
        <v>4.0800000000000003E-2</v>
      </c>
      <c r="H83" s="496">
        <v>0.1051</v>
      </c>
      <c r="I83" s="497">
        <v>6.3399999999999998E-2</v>
      </c>
      <c r="J83" s="4"/>
      <c r="K83" s="4"/>
      <c r="L83" s="4"/>
      <c r="M83" s="4"/>
      <c r="N83" s="4"/>
      <c r="O83" s="4"/>
      <c r="P83" s="4"/>
      <c r="Q83" s="4"/>
      <c r="R83" s="4"/>
      <c r="S83" s="4"/>
      <c r="T83" s="4"/>
      <c r="U83" s="4"/>
      <c r="V83" s="4"/>
      <c r="W83" s="4"/>
      <c r="X83" s="4"/>
      <c r="Y83" s="4"/>
      <c r="Z83" s="4"/>
    </row>
    <row r="84" spans="1:26" ht="15.75" customHeight="1">
      <c r="A84" s="498" t="s">
        <v>617</v>
      </c>
      <c r="B84" s="499" t="s">
        <v>539</v>
      </c>
      <c r="C84" s="500" t="s">
        <v>512</v>
      </c>
      <c r="D84" s="501">
        <v>4.4999999999999997E-3</v>
      </c>
      <c r="E84" s="501">
        <v>4.87E-2</v>
      </c>
      <c r="F84" s="501">
        <v>7.0000000000000001E-3</v>
      </c>
      <c r="G84" s="501">
        <v>2.8999999999999998E-3</v>
      </c>
      <c r="H84" s="501">
        <v>4.6199999999999998E-2</v>
      </c>
      <c r="I84" s="504">
        <v>4.4999999999999997E-3</v>
      </c>
      <c r="J84" s="4"/>
      <c r="K84" s="4"/>
      <c r="L84" s="4"/>
      <c r="M84" s="4"/>
      <c r="N84" s="4"/>
      <c r="O84" s="4"/>
      <c r="P84" s="4"/>
      <c r="Q84" s="4"/>
      <c r="R84" s="4"/>
      <c r="S84" s="4"/>
      <c r="T84" s="4"/>
      <c r="U84" s="4"/>
      <c r="V84" s="4"/>
      <c r="W84" s="4"/>
      <c r="X84" s="4"/>
      <c r="Y84" s="4"/>
      <c r="Z84" s="4"/>
    </row>
    <row r="85" spans="1:26" ht="15.75" customHeight="1">
      <c r="A85" s="493" t="s">
        <v>618</v>
      </c>
      <c r="B85" s="494" t="s">
        <v>511</v>
      </c>
      <c r="C85" s="495" t="s">
        <v>544</v>
      </c>
      <c r="D85" s="496">
        <v>6.4999999999999997E-3</v>
      </c>
      <c r="E85" s="496">
        <v>5.1799999999999999E-2</v>
      </c>
      <c r="F85" s="496">
        <v>1.01E-2</v>
      </c>
      <c r="G85" s="496">
        <v>7.7000000000000002E-3</v>
      </c>
      <c r="H85" s="496">
        <v>5.3699999999999998E-2</v>
      </c>
      <c r="I85" s="497">
        <v>1.2E-2</v>
      </c>
      <c r="J85" s="4"/>
      <c r="K85" s="4"/>
      <c r="L85" s="4"/>
      <c r="M85" s="4"/>
      <c r="N85" s="4"/>
      <c r="O85" s="4"/>
      <c r="P85" s="4"/>
      <c r="Q85" s="4"/>
      <c r="R85" s="4"/>
      <c r="S85" s="4"/>
      <c r="T85" s="4"/>
      <c r="U85" s="4"/>
      <c r="V85" s="4"/>
      <c r="W85" s="4"/>
      <c r="X85" s="4"/>
      <c r="Y85" s="4"/>
      <c r="Z85" s="4"/>
    </row>
    <row r="86" spans="1:26" ht="15.75" customHeight="1">
      <c r="A86" s="498" t="s">
        <v>619</v>
      </c>
      <c r="B86" s="499" t="s">
        <v>514</v>
      </c>
      <c r="C86" s="500" t="s">
        <v>521</v>
      </c>
      <c r="D86" s="501">
        <v>5.96E-2</v>
      </c>
      <c r="E86" s="501">
        <v>0.13439999999999999</v>
      </c>
      <c r="F86" s="501">
        <v>9.2700000000000005E-2</v>
      </c>
      <c r="G86" s="500" t="s">
        <v>516</v>
      </c>
      <c r="H86" s="500" t="s">
        <v>516</v>
      </c>
      <c r="I86" s="502" t="s">
        <v>516</v>
      </c>
      <c r="J86" s="4"/>
      <c r="K86" s="4"/>
      <c r="L86" s="4"/>
      <c r="M86" s="4"/>
      <c r="N86" s="4"/>
      <c r="O86" s="4"/>
      <c r="P86" s="4"/>
      <c r="Q86" s="4"/>
      <c r="R86" s="4"/>
      <c r="S86" s="4"/>
      <c r="T86" s="4"/>
      <c r="U86" s="4"/>
      <c r="V86" s="4"/>
      <c r="W86" s="4"/>
      <c r="X86" s="4"/>
      <c r="Y86" s="4"/>
      <c r="Z86" s="4"/>
    </row>
    <row r="87" spans="1:26" ht="15.75" customHeight="1">
      <c r="A87" s="493" t="s">
        <v>620</v>
      </c>
      <c r="B87" s="494" t="s">
        <v>539</v>
      </c>
      <c r="C87" s="495" t="s">
        <v>570</v>
      </c>
      <c r="D87" s="496">
        <v>8.2600000000000007E-2</v>
      </c>
      <c r="E87" s="496">
        <v>0.1701</v>
      </c>
      <c r="F87" s="496">
        <v>0.12839999999999999</v>
      </c>
      <c r="G87" s="495" t="s">
        <v>516</v>
      </c>
      <c r="H87" s="495" t="s">
        <v>516</v>
      </c>
      <c r="I87" s="503" t="s">
        <v>516</v>
      </c>
      <c r="J87" s="4"/>
      <c r="K87" s="4"/>
      <c r="L87" s="4"/>
      <c r="M87" s="4"/>
      <c r="N87" s="4"/>
      <c r="O87" s="4"/>
      <c r="P87" s="4"/>
      <c r="Q87" s="4"/>
      <c r="R87" s="4"/>
      <c r="S87" s="4"/>
      <c r="T87" s="4"/>
      <c r="U87" s="4"/>
      <c r="V87" s="4"/>
      <c r="W87" s="4"/>
      <c r="X87" s="4"/>
      <c r="Y87" s="4"/>
      <c r="Z87" s="4"/>
    </row>
    <row r="88" spans="1:26" ht="15.75" customHeight="1">
      <c r="A88" s="498" t="s">
        <v>621</v>
      </c>
      <c r="B88" s="499" t="s">
        <v>514</v>
      </c>
      <c r="C88" s="500" t="s">
        <v>576</v>
      </c>
      <c r="D88" s="501">
        <v>1.0999999999999999E-2</v>
      </c>
      <c r="E88" s="501">
        <v>5.8799999999999998E-2</v>
      </c>
      <c r="F88" s="501">
        <v>1.7100000000000001E-2</v>
      </c>
      <c r="G88" s="501">
        <v>7.1000000000000004E-3</v>
      </c>
      <c r="H88" s="501">
        <v>5.2699999999999997E-2</v>
      </c>
      <c r="I88" s="504">
        <v>1.0999999999999999E-2</v>
      </c>
      <c r="J88" s="4"/>
      <c r="K88" s="4"/>
      <c r="L88" s="4"/>
      <c r="M88" s="4"/>
      <c r="N88" s="4"/>
      <c r="O88" s="4"/>
      <c r="P88" s="4"/>
      <c r="Q88" s="4"/>
      <c r="R88" s="4"/>
      <c r="S88" s="4"/>
      <c r="T88" s="4"/>
      <c r="U88" s="4"/>
      <c r="V88" s="4"/>
      <c r="W88" s="4"/>
      <c r="X88" s="4"/>
      <c r="Y88" s="4"/>
      <c r="Z88" s="4"/>
    </row>
    <row r="89" spans="1:26" ht="15.75" customHeight="1">
      <c r="A89" s="493" t="s">
        <v>622</v>
      </c>
      <c r="B89" s="494" t="s">
        <v>511</v>
      </c>
      <c r="C89" s="495" t="s">
        <v>541</v>
      </c>
      <c r="D89" s="496">
        <v>0.17499999999999999</v>
      </c>
      <c r="E89" s="496">
        <v>0.31369999999999998</v>
      </c>
      <c r="F89" s="496">
        <v>0.27200000000000002</v>
      </c>
      <c r="G89" s="495" t="s">
        <v>516</v>
      </c>
      <c r="H89" s="495" t="s">
        <v>516</v>
      </c>
      <c r="I89" s="503" t="s">
        <v>516</v>
      </c>
      <c r="J89" s="4"/>
      <c r="K89" s="4"/>
      <c r="L89" s="4"/>
      <c r="M89" s="4"/>
      <c r="N89" s="4"/>
      <c r="O89" s="4"/>
      <c r="P89" s="4"/>
      <c r="Q89" s="4"/>
      <c r="R89" s="4"/>
      <c r="S89" s="4"/>
      <c r="T89" s="4"/>
      <c r="U89" s="4"/>
      <c r="V89" s="4"/>
      <c r="W89" s="4"/>
      <c r="X89" s="4"/>
      <c r="Y89" s="4"/>
      <c r="Z89" s="4"/>
    </row>
    <row r="90" spans="1:26" ht="15.75" customHeight="1">
      <c r="A90" s="498" t="s">
        <v>623</v>
      </c>
      <c r="B90" s="499" t="s">
        <v>518</v>
      </c>
      <c r="C90" s="500" t="s">
        <v>531</v>
      </c>
      <c r="D90" s="501">
        <v>0</v>
      </c>
      <c r="E90" s="501">
        <v>4.1700000000000001E-2</v>
      </c>
      <c r="F90" s="501">
        <v>0</v>
      </c>
      <c r="G90" s="500" t="s">
        <v>516</v>
      </c>
      <c r="H90" s="500" t="s">
        <v>516</v>
      </c>
      <c r="I90" s="502" t="s">
        <v>516</v>
      </c>
      <c r="J90" s="4"/>
      <c r="K90" s="4"/>
      <c r="L90" s="4"/>
      <c r="M90" s="4"/>
      <c r="N90" s="4"/>
      <c r="O90" s="4"/>
      <c r="P90" s="4"/>
      <c r="Q90" s="4"/>
      <c r="R90" s="4"/>
      <c r="S90" s="4"/>
      <c r="T90" s="4"/>
      <c r="U90" s="4"/>
      <c r="V90" s="4"/>
      <c r="W90" s="4"/>
      <c r="X90" s="4"/>
      <c r="Y90" s="4"/>
      <c r="Z90" s="4"/>
    </row>
    <row r="91" spans="1:26" ht="15.75" customHeight="1">
      <c r="A91" s="493" t="s">
        <v>624</v>
      </c>
      <c r="B91" s="494" t="s">
        <v>514</v>
      </c>
      <c r="C91" s="495" t="s">
        <v>565</v>
      </c>
      <c r="D91" s="496">
        <v>7.7999999999999996E-3</v>
      </c>
      <c r="E91" s="496">
        <v>5.3800000000000001E-2</v>
      </c>
      <c r="F91" s="496">
        <v>1.21E-2</v>
      </c>
      <c r="G91" s="496">
        <v>7.0000000000000001E-3</v>
      </c>
      <c r="H91" s="496">
        <v>5.2600000000000001E-2</v>
      </c>
      <c r="I91" s="497">
        <v>1.09E-2</v>
      </c>
      <c r="J91" s="4"/>
      <c r="K91" s="4"/>
      <c r="L91" s="4"/>
      <c r="M91" s="4"/>
      <c r="N91" s="4"/>
      <c r="O91" s="4"/>
      <c r="P91" s="4"/>
      <c r="Q91" s="4"/>
      <c r="R91" s="4"/>
      <c r="S91" s="4"/>
      <c r="T91" s="4"/>
      <c r="U91" s="4"/>
      <c r="V91" s="4"/>
      <c r="W91" s="4"/>
      <c r="X91" s="4"/>
      <c r="Y91" s="4"/>
      <c r="Z91" s="4"/>
    </row>
    <row r="92" spans="1:26" ht="15.75" customHeight="1">
      <c r="A92" s="498" t="s">
        <v>625</v>
      </c>
      <c r="B92" s="499" t="s">
        <v>518</v>
      </c>
      <c r="C92" s="500" t="s">
        <v>531</v>
      </c>
      <c r="D92" s="501">
        <v>0</v>
      </c>
      <c r="E92" s="501">
        <v>4.1700000000000001E-2</v>
      </c>
      <c r="F92" s="501">
        <v>0</v>
      </c>
      <c r="G92" s="500" t="s">
        <v>516</v>
      </c>
      <c r="H92" s="500" t="s">
        <v>516</v>
      </c>
      <c r="I92" s="502" t="s">
        <v>516</v>
      </c>
      <c r="J92" s="4"/>
      <c r="K92" s="4"/>
      <c r="L92" s="4"/>
      <c r="M92" s="4"/>
      <c r="N92" s="4"/>
      <c r="O92" s="4"/>
      <c r="P92" s="4"/>
      <c r="Q92" s="4"/>
      <c r="R92" s="4"/>
      <c r="S92" s="4"/>
      <c r="T92" s="4"/>
      <c r="U92" s="4"/>
      <c r="V92" s="4"/>
      <c r="W92" s="4"/>
      <c r="X92" s="4"/>
      <c r="Y92" s="4"/>
      <c r="Z92" s="4"/>
    </row>
    <row r="93" spans="1:26" ht="15.75" customHeight="1">
      <c r="A93" s="493" t="s">
        <v>626</v>
      </c>
      <c r="B93" s="494" t="s">
        <v>539</v>
      </c>
      <c r="C93" s="495" t="s">
        <v>563</v>
      </c>
      <c r="D93" s="496">
        <v>5.4999999999999997E-3</v>
      </c>
      <c r="E93" s="496">
        <v>5.0299999999999997E-2</v>
      </c>
      <c r="F93" s="496">
        <v>8.6E-3</v>
      </c>
      <c r="G93" s="495" t="s">
        <v>516</v>
      </c>
      <c r="H93" s="495" t="s">
        <v>516</v>
      </c>
      <c r="I93" s="503" t="s">
        <v>516</v>
      </c>
      <c r="J93" s="4"/>
      <c r="K93" s="4"/>
      <c r="L93" s="4"/>
      <c r="M93" s="4"/>
      <c r="N93" s="4"/>
      <c r="O93" s="4"/>
      <c r="P93" s="4"/>
      <c r="Q93" s="4"/>
      <c r="R93" s="4"/>
      <c r="S93" s="4"/>
      <c r="T93" s="4"/>
      <c r="U93" s="4"/>
      <c r="V93" s="4"/>
      <c r="W93" s="4"/>
      <c r="X93" s="4"/>
      <c r="Y93" s="4"/>
      <c r="Z93" s="4"/>
    </row>
    <row r="94" spans="1:26" ht="15.75" customHeight="1">
      <c r="A94" s="498" t="s">
        <v>627</v>
      </c>
      <c r="B94" s="499" t="s">
        <v>514</v>
      </c>
      <c r="C94" s="500" t="s">
        <v>515</v>
      </c>
      <c r="D94" s="501">
        <v>3.3000000000000002E-2</v>
      </c>
      <c r="E94" s="501">
        <v>9.2999999999999999E-2</v>
      </c>
      <c r="F94" s="501">
        <v>5.1299999999999998E-2</v>
      </c>
      <c r="G94" s="500" t="s">
        <v>516</v>
      </c>
      <c r="H94" s="500" t="s">
        <v>516</v>
      </c>
      <c r="I94" s="502" t="s">
        <v>516</v>
      </c>
      <c r="J94" s="4"/>
      <c r="K94" s="4"/>
      <c r="L94" s="4"/>
      <c r="M94" s="4"/>
      <c r="N94" s="4"/>
      <c r="O94" s="4"/>
      <c r="P94" s="4"/>
      <c r="Q94" s="4"/>
      <c r="R94" s="4"/>
      <c r="S94" s="4"/>
      <c r="T94" s="4"/>
      <c r="U94" s="4"/>
      <c r="V94" s="4"/>
      <c r="W94" s="4"/>
      <c r="X94" s="4"/>
      <c r="Y94" s="4"/>
      <c r="Z94" s="4"/>
    </row>
    <row r="95" spans="1:26" ht="15.75" customHeight="1">
      <c r="A95" s="493" t="s">
        <v>628</v>
      </c>
      <c r="B95" s="494" t="s">
        <v>539</v>
      </c>
      <c r="C95" s="495" t="s">
        <v>576</v>
      </c>
      <c r="D95" s="496">
        <v>1.0999999999999999E-2</v>
      </c>
      <c r="E95" s="496">
        <v>5.8799999999999998E-2</v>
      </c>
      <c r="F95" s="496">
        <v>1.7100000000000001E-2</v>
      </c>
      <c r="G95" s="496">
        <v>5.4999999999999997E-3</v>
      </c>
      <c r="H95" s="496">
        <v>5.0200000000000002E-2</v>
      </c>
      <c r="I95" s="497">
        <v>8.5000000000000006E-3</v>
      </c>
      <c r="J95" s="4"/>
      <c r="K95" s="4"/>
      <c r="L95" s="4"/>
      <c r="M95" s="4"/>
      <c r="N95" s="4"/>
      <c r="O95" s="4"/>
      <c r="P95" s="4"/>
      <c r="Q95" s="4"/>
      <c r="R95" s="4"/>
      <c r="S95" s="4"/>
      <c r="T95" s="4"/>
      <c r="U95" s="4"/>
      <c r="V95" s="4"/>
      <c r="W95" s="4"/>
      <c r="X95" s="4"/>
      <c r="Y95" s="4"/>
      <c r="Z95" s="4"/>
    </row>
    <row r="96" spans="1:26" ht="15.75" customHeight="1">
      <c r="A96" s="498" t="s">
        <v>629</v>
      </c>
      <c r="B96" s="499" t="s">
        <v>539</v>
      </c>
      <c r="C96" s="500" t="s">
        <v>570</v>
      </c>
      <c r="D96" s="501">
        <v>8.2600000000000007E-2</v>
      </c>
      <c r="E96" s="501">
        <v>0.1701</v>
      </c>
      <c r="F96" s="501">
        <v>0.12839999999999999</v>
      </c>
      <c r="G96" s="500" t="s">
        <v>516</v>
      </c>
      <c r="H96" s="500" t="s">
        <v>516</v>
      </c>
      <c r="I96" s="502" t="s">
        <v>516</v>
      </c>
      <c r="J96" s="4"/>
      <c r="K96" s="4"/>
      <c r="L96" s="4"/>
      <c r="M96" s="4"/>
      <c r="N96" s="4"/>
      <c r="O96" s="4"/>
      <c r="P96" s="4"/>
      <c r="Q96" s="4"/>
      <c r="R96" s="4"/>
      <c r="S96" s="4"/>
      <c r="T96" s="4"/>
      <c r="U96" s="4"/>
      <c r="V96" s="4"/>
      <c r="W96" s="4"/>
      <c r="X96" s="4"/>
      <c r="Y96" s="4"/>
      <c r="Z96" s="4"/>
    </row>
    <row r="97" spans="1:26" ht="15.75" customHeight="1">
      <c r="A97" s="493" t="s">
        <v>630</v>
      </c>
      <c r="B97" s="494" t="s">
        <v>503</v>
      </c>
      <c r="C97" s="495" t="s">
        <v>570</v>
      </c>
      <c r="D97" s="496">
        <v>8.2600000000000007E-2</v>
      </c>
      <c r="E97" s="496">
        <v>0.1701</v>
      </c>
      <c r="F97" s="496">
        <v>0.12839999999999999</v>
      </c>
      <c r="G97" s="495" t="s">
        <v>516</v>
      </c>
      <c r="H97" s="495" t="s">
        <v>516</v>
      </c>
      <c r="I97" s="503" t="s">
        <v>516</v>
      </c>
      <c r="J97" s="4"/>
      <c r="K97" s="4"/>
      <c r="L97" s="4"/>
      <c r="M97" s="4"/>
      <c r="N97" s="4"/>
      <c r="O97" s="4"/>
      <c r="P97" s="4"/>
      <c r="Q97" s="4"/>
      <c r="R97" s="4"/>
      <c r="S97" s="4"/>
      <c r="T97" s="4"/>
      <c r="U97" s="4"/>
      <c r="V97" s="4"/>
      <c r="W97" s="4"/>
      <c r="X97" s="4"/>
      <c r="Y97" s="4"/>
      <c r="Z97" s="4"/>
    </row>
    <row r="98" spans="1:26" ht="15.75" customHeight="1">
      <c r="A98" s="498" t="s">
        <v>631</v>
      </c>
      <c r="B98" s="499" t="s">
        <v>518</v>
      </c>
      <c r="C98" s="500" t="s">
        <v>565</v>
      </c>
      <c r="D98" s="501">
        <v>7.7999999999999996E-3</v>
      </c>
      <c r="E98" s="501">
        <v>5.3800000000000001E-2</v>
      </c>
      <c r="F98" s="501">
        <v>1.21E-2</v>
      </c>
      <c r="G98" s="500" t="s">
        <v>516</v>
      </c>
      <c r="H98" s="500" t="s">
        <v>516</v>
      </c>
      <c r="I98" s="502" t="s">
        <v>516</v>
      </c>
      <c r="J98" s="4"/>
      <c r="K98" s="4"/>
      <c r="L98" s="4"/>
      <c r="M98" s="4"/>
      <c r="N98" s="4"/>
      <c r="O98" s="4"/>
      <c r="P98" s="4"/>
      <c r="Q98" s="4"/>
      <c r="R98" s="4"/>
      <c r="S98" s="4"/>
      <c r="T98" s="4"/>
      <c r="U98" s="4"/>
      <c r="V98" s="4"/>
      <c r="W98" s="4"/>
      <c r="X98" s="4"/>
      <c r="Y98" s="4"/>
      <c r="Z98" s="4"/>
    </row>
    <row r="99" spans="1:26" ht="15.75" customHeight="1">
      <c r="A99" s="493" t="s">
        <v>632</v>
      </c>
      <c r="B99" s="494" t="s">
        <v>503</v>
      </c>
      <c r="C99" s="495" t="s">
        <v>528</v>
      </c>
      <c r="D99" s="496">
        <v>2.0199999999999999E-2</v>
      </c>
      <c r="E99" s="496">
        <v>7.3099999999999998E-2</v>
      </c>
      <c r="F99" s="496">
        <v>3.1399999999999997E-2</v>
      </c>
      <c r="G99" s="495" t="s">
        <v>516</v>
      </c>
      <c r="H99" s="495" t="s">
        <v>516</v>
      </c>
      <c r="I99" s="503" t="s">
        <v>516</v>
      </c>
      <c r="J99" s="4"/>
      <c r="K99" s="4"/>
      <c r="L99" s="4"/>
      <c r="M99" s="4"/>
      <c r="N99" s="4"/>
      <c r="O99" s="4"/>
      <c r="P99" s="4"/>
      <c r="Q99" s="4"/>
      <c r="R99" s="4"/>
      <c r="S99" s="4"/>
      <c r="T99" s="4"/>
      <c r="U99" s="4"/>
      <c r="V99" s="4"/>
      <c r="W99" s="4"/>
      <c r="X99" s="4"/>
      <c r="Y99" s="4"/>
      <c r="Z99" s="4"/>
    </row>
    <row r="100" spans="1:26" ht="15.75" customHeight="1">
      <c r="A100" s="498" t="s">
        <v>633</v>
      </c>
      <c r="B100" s="499" t="s">
        <v>523</v>
      </c>
      <c r="C100" s="500" t="s">
        <v>528</v>
      </c>
      <c r="D100" s="501">
        <v>2.0199999999999999E-2</v>
      </c>
      <c r="E100" s="501">
        <v>7.3099999999999998E-2</v>
      </c>
      <c r="F100" s="501">
        <v>3.1399999999999997E-2</v>
      </c>
      <c r="G100" s="501">
        <v>1.46E-2</v>
      </c>
      <c r="H100" s="501">
        <v>6.4399999999999999E-2</v>
      </c>
      <c r="I100" s="504">
        <v>2.2700000000000001E-2</v>
      </c>
      <c r="J100" s="4"/>
      <c r="K100" s="4"/>
      <c r="L100" s="4"/>
      <c r="M100" s="4"/>
      <c r="N100" s="4"/>
      <c r="O100" s="4"/>
      <c r="P100" s="4"/>
      <c r="Q100" s="4"/>
      <c r="R100" s="4"/>
      <c r="S100" s="4"/>
      <c r="T100" s="4"/>
      <c r="U100" s="4"/>
      <c r="V100" s="4"/>
      <c r="W100" s="4"/>
      <c r="X100" s="4"/>
      <c r="Y100" s="4"/>
      <c r="Z100" s="4"/>
    </row>
    <row r="101" spans="1:26" ht="15.75" customHeight="1">
      <c r="A101" s="493" t="s">
        <v>634</v>
      </c>
      <c r="B101" s="494" t="s">
        <v>514</v>
      </c>
      <c r="C101" s="495" t="s">
        <v>537</v>
      </c>
      <c r="D101" s="496">
        <v>5.0500000000000003E-2</v>
      </c>
      <c r="E101" s="496">
        <v>0.1202</v>
      </c>
      <c r="F101" s="496">
        <v>7.85E-2</v>
      </c>
      <c r="G101" s="495" t="s">
        <v>516</v>
      </c>
      <c r="H101" s="495" t="s">
        <v>516</v>
      </c>
      <c r="I101" s="503" t="s">
        <v>516</v>
      </c>
      <c r="J101" s="4"/>
      <c r="K101" s="4"/>
      <c r="L101" s="4"/>
      <c r="M101" s="4"/>
      <c r="N101" s="4"/>
      <c r="O101" s="4"/>
      <c r="P101" s="4"/>
      <c r="Q101" s="4"/>
      <c r="R101" s="4"/>
      <c r="S101" s="4"/>
      <c r="T101" s="4"/>
      <c r="U101" s="4"/>
      <c r="V101" s="4"/>
      <c r="W101" s="4"/>
      <c r="X101" s="4"/>
      <c r="Y101" s="4"/>
      <c r="Z101" s="4"/>
    </row>
    <row r="102" spans="1:26" ht="15.75" customHeight="1">
      <c r="A102" s="498" t="s">
        <v>635</v>
      </c>
      <c r="B102" s="499" t="s">
        <v>539</v>
      </c>
      <c r="C102" s="500" t="s">
        <v>547</v>
      </c>
      <c r="D102" s="501">
        <v>4.1300000000000003E-2</v>
      </c>
      <c r="E102" s="501">
        <v>0.10589999999999999</v>
      </c>
      <c r="F102" s="501">
        <v>6.4199999999999993E-2</v>
      </c>
      <c r="G102" s="500" t="s">
        <v>516</v>
      </c>
      <c r="H102" s="500" t="s">
        <v>516</v>
      </c>
      <c r="I102" s="502" t="s">
        <v>516</v>
      </c>
      <c r="J102" s="4"/>
      <c r="K102" s="4"/>
      <c r="L102" s="4"/>
      <c r="M102" s="4"/>
      <c r="N102" s="4"/>
      <c r="O102" s="4"/>
      <c r="P102" s="4"/>
      <c r="Q102" s="4"/>
      <c r="R102" s="4"/>
      <c r="S102" s="4"/>
      <c r="T102" s="4"/>
      <c r="U102" s="4"/>
      <c r="V102" s="4"/>
      <c r="W102" s="4"/>
      <c r="X102" s="4"/>
      <c r="Y102" s="4"/>
      <c r="Z102" s="4"/>
    </row>
    <row r="103" spans="1:26" ht="15.75" customHeight="1">
      <c r="A103" s="493" t="s">
        <v>636</v>
      </c>
      <c r="B103" s="494" t="s">
        <v>514</v>
      </c>
      <c r="C103" s="495" t="s">
        <v>515</v>
      </c>
      <c r="D103" s="496">
        <v>3.3000000000000002E-2</v>
      </c>
      <c r="E103" s="496">
        <v>9.2999999999999999E-2</v>
      </c>
      <c r="F103" s="496">
        <v>5.1299999999999998E-2</v>
      </c>
      <c r="G103" s="495" t="s">
        <v>516</v>
      </c>
      <c r="H103" s="495" t="s">
        <v>516</v>
      </c>
      <c r="I103" s="503" t="s">
        <v>516</v>
      </c>
      <c r="J103" s="4"/>
      <c r="K103" s="4"/>
      <c r="L103" s="4"/>
      <c r="M103" s="4"/>
      <c r="N103" s="4"/>
      <c r="O103" s="4"/>
      <c r="P103" s="4"/>
      <c r="Q103" s="4"/>
      <c r="R103" s="4"/>
      <c r="S103" s="4"/>
      <c r="T103" s="4"/>
      <c r="U103" s="4"/>
      <c r="V103" s="4"/>
      <c r="W103" s="4"/>
      <c r="X103" s="4"/>
      <c r="Y103" s="4"/>
      <c r="Z103" s="4"/>
    </row>
    <row r="104" spans="1:26" ht="15.75" customHeight="1">
      <c r="A104" s="498" t="s">
        <v>637</v>
      </c>
      <c r="B104" s="499" t="s">
        <v>527</v>
      </c>
      <c r="C104" s="500" t="s">
        <v>528</v>
      </c>
      <c r="D104" s="501">
        <v>2.0199999999999999E-2</v>
      </c>
      <c r="E104" s="501">
        <v>7.3099999999999998E-2</v>
      </c>
      <c r="F104" s="501">
        <v>3.1399999999999997E-2</v>
      </c>
      <c r="G104" s="500" t="s">
        <v>516</v>
      </c>
      <c r="H104" s="500" t="s">
        <v>516</v>
      </c>
      <c r="I104" s="502" t="s">
        <v>516</v>
      </c>
      <c r="J104" s="4"/>
      <c r="K104" s="4"/>
      <c r="L104" s="4"/>
      <c r="M104" s="4"/>
      <c r="N104" s="4"/>
      <c r="O104" s="4"/>
      <c r="P104" s="4"/>
      <c r="Q104" s="4"/>
      <c r="R104" s="4"/>
      <c r="S104" s="4"/>
      <c r="T104" s="4"/>
      <c r="U104" s="4"/>
      <c r="V104" s="4"/>
      <c r="W104" s="4"/>
      <c r="X104" s="4"/>
      <c r="Y104" s="4"/>
      <c r="Z104" s="4"/>
    </row>
    <row r="105" spans="1:26" ht="15.75" customHeight="1">
      <c r="A105" s="493" t="s">
        <v>638</v>
      </c>
      <c r="B105" s="494" t="s">
        <v>503</v>
      </c>
      <c r="C105" s="495" t="s">
        <v>554</v>
      </c>
      <c r="D105" s="496">
        <v>2.3E-2</v>
      </c>
      <c r="E105" s="496">
        <v>7.7399999999999997E-2</v>
      </c>
      <c r="F105" s="496">
        <v>3.5700000000000003E-2</v>
      </c>
      <c r="G105" s="496">
        <v>1.1599999999999999E-2</v>
      </c>
      <c r="H105" s="496">
        <v>5.9700000000000003E-2</v>
      </c>
      <c r="I105" s="497">
        <v>1.7999999999999999E-2</v>
      </c>
      <c r="J105" s="4"/>
      <c r="K105" s="4"/>
      <c r="L105" s="4"/>
      <c r="M105" s="4"/>
      <c r="N105" s="4"/>
      <c r="O105" s="4"/>
      <c r="P105" s="4"/>
      <c r="Q105" s="4"/>
      <c r="R105" s="4"/>
      <c r="S105" s="4"/>
      <c r="T105" s="4"/>
      <c r="U105" s="4"/>
      <c r="V105" s="4"/>
      <c r="W105" s="4"/>
      <c r="X105" s="4"/>
      <c r="Y105" s="4"/>
      <c r="Z105" s="4"/>
    </row>
    <row r="106" spans="1:26" ht="15.75" customHeight="1">
      <c r="A106" s="498" t="s">
        <v>639</v>
      </c>
      <c r="B106" s="499" t="s">
        <v>503</v>
      </c>
      <c r="C106" s="500" t="s">
        <v>570</v>
      </c>
      <c r="D106" s="501">
        <v>8.2600000000000007E-2</v>
      </c>
      <c r="E106" s="501">
        <v>0.1701</v>
      </c>
      <c r="F106" s="501">
        <v>0.12839999999999999</v>
      </c>
      <c r="G106" s="500" t="s">
        <v>516</v>
      </c>
      <c r="H106" s="500" t="s">
        <v>516</v>
      </c>
      <c r="I106" s="502" t="s">
        <v>516</v>
      </c>
      <c r="J106" s="4"/>
      <c r="K106" s="4"/>
      <c r="L106" s="4"/>
      <c r="M106" s="4"/>
      <c r="N106" s="4"/>
      <c r="O106" s="4"/>
      <c r="P106" s="4"/>
      <c r="Q106" s="4"/>
      <c r="R106" s="4"/>
      <c r="S106" s="4"/>
      <c r="T106" s="4"/>
      <c r="U106" s="4"/>
      <c r="V106" s="4"/>
      <c r="W106" s="4"/>
      <c r="X106" s="4"/>
      <c r="Y106" s="4"/>
      <c r="Z106" s="4"/>
    </row>
    <row r="107" spans="1:26" ht="15.75" customHeight="1">
      <c r="A107" s="493" t="s">
        <v>640</v>
      </c>
      <c r="B107" s="494" t="s">
        <v>503</v>
      </c>
      <c r="C107" s="495" t="s">
        <v>547</v>
      </c>
      <c r="D107" s="496">
        <v>4.1300000000000003E-2</v>
      </c>
      <c r="E107" s="496">
        <v>0.10589999999999999</v>
      </c>
      <c r="F107" s="496">
        <v>6.4199999999999993E-2</v>
      </c>
      <c r="G107" s="495" t="s">
        <v>516</v>
      </c>
      <c r="H107" s="495" t="s">
        <v>516</v>
      </c>
      <c r="I107" s="503" t="s">
        <v>516</v>
      </c>
      <c r="J107" s="4"/>
      <c r="K107" s="4"/>
      <c r="L107" s="4"/>
      <c r="M107" s="4"/>
      <c r="N107" s="4"/>
      <c r="O107" s="4"/>
      <c r="P107" s="4"/>
      <c r="Q107" s="4"/>
      <c r="R107" s="4"/>
      <c r="S107" s="4"/>
      <c r="T107" s="4"/>
      <c r="U107" s="4"/>
      <c r="V107" s="4"/>
      <c r="W107" s="4"/>
      <c r="X107" s="4"/>
      <c r="Y107" s="4"/>
      <c r="Z107" s="4"/>
    </row>
    <row r="108" spans="1:26" ht="15.75" customHeight="1">
      <c r="A108" s="498" t="s">
        <v>641</v>
      </c>
      <c r="B108" s="499" t="s">
        <v>539</v>
      </c>
      <c r="C108" s="500" t="s">
        <v>515</v>
      </c>
      <c r="D108" s="501">
        <v>3.3000000000000002E-2</v>
      </c>
      <c r="E108" s="501">
        <v>9.2999999999999999E-2</v>
      </c>
      <c r="F108" s="501">
        <v>5.1299999999999998E-2</v>
      </c>
      <c r="G108" s="500" t="s">
        <v>516</v>
      </c>
      <c r="H108" s="500" t="s">
        <v>516</v>
      </c>
      <c r="I108" s="502" t="s">
        <v>516</v>
      </c>
      <c r="J108" s="4"/>
      <c r="K108" s="4"/>
      <c r="L108" s="4"/>
      <c r="M108" s="4"/>
      <c r="N108" s="4"/>
      <c r="O108" s="4"/>
      <c r="P108" s="4"/>
      <c r="Q108" s="4"/>
      <c r="R108" s="4"/>
      <c r="S108" s="4"/>
      <c r="T108" s="4"/>
      <c r="U108" s="4"/>
      <c r="V108" s="4"/>
      <c r="W108" s="4"/>
      <c r="X108" s="4"/>
      <c r="Y108" s="4"/>
      <c r="Z108" s="4"/>
    </row>
    <row r="109" spans="1:26" ht="15.75" customHeight="1">
      <c r="A109" s="493" t="s">
        <v>642</v>
      </c>
      <c r="B109" s="494" t="s">
        <v>518</v>
      </c>
      <c r="C109" s="495" t="s">
        <v>531</v>
      </c>
      <c r="D109" s="496">
        <v>0</v>
      </c>
      <c r="E109" s="496">
        <v>4.1700000000000001E-2</v>
      </c>
      <c r="F109" s="496">
        <v>0</v>
      </c>
      <c r="G109" s="496">
        <v>6.9999999999999999E-4</v>
      </c>
      <c r="H109" s="496">
        <v>4.2799999999999998E-2</v>
      </c>
      <c r="I109" s="497">
        <v>1.1000000000000001E-3</v>
      </c>
      <c r="J109" s="4"/>
      <c r="K109" s="4"/>
      <c r="L109" s="4"/>
      <c r="M109" s="4"/>
      <c r="N109" s="4"/>
      <c r="O109" s="4"/>
      <c r="P109" s="4"/>
      <c r="Q109" s="4"/>
      <c r="R109" s="4"/>
      <c r="S109" s="4"/>
      <c r="T109" s="4"/>
      <c r="U109" s="4"/>
      <c r="V109" s="4"/>
      <c r="W109" s="4"/>
      <c r="X109" s="4"/>
      <c r="Y109" s="4"/>
      <c r="Z109" s="4"/>
    </row>
    <row r="110" spans="1:26" ht="15.75" customHeight="1">
      <c r="A110" s="498" t="s">
        <v>643</v>
      </c>
      <c r="B110" s="499" t="s">
        <v>530</v>
      </c>
      <c r="C110" s="500" t="s">
        <v>531</v>
      </c>
      <c r="D110" s="501">
        <v>0</v>
      </c>
      <c r="E110" s="501">
        <v>4.1700000000000001E-2</v>
      </c>
      <c r="F110" s="501">
        <v>0</v>
      </c>
      <c r="G110" s="501">
        <v>1.2999999999999999E-3</v>
      </c>
      <c r="H110" s="501">
        <v>4.3700000000000003E-2</v>
      </c>
      <c r="I110" s="504">
        <v>2E-3</v>
      </c>
      <c r="J110" s="4"/>
      <c r="K110" s="4"/>
      <c r="L110" s="4"/>
      <c r="M110" s="4"/>
      <c r="N110" s="4"/>
      <c r="O110" s="4"/>
      <c r="P110" s="4"/>
      <c r="Q110" s="4"/>
      <c r="R110" s="4"/>
      <c r="S110" s="4"/>
      <c r="T110" s="4"/>
      <c r="U110" s="4"/>
      <c r="V110" s="4"/>
      <c r="W110" s="4"/>
      <c r="X110" s="4"/>
      <c r="Y110" s="4"/>
      <c r="Z110" s="4"/>
    </row>
    <row r="111" spans="1:26" ht="15.75" customHeight="1">
      <c r="A111" s="493" t="s">
        <v>644</v>
      </c>
      <c r="B111" s="494" t="s">
        <v>523</v>
      </c>
      <c r="C111" s="495" t="s">
        <v>537</v>
      </c>
      <c r="D111" s="496">
        <v>5.0500000000000003E-2</v>
      </c>
      <c r="E111" s="496">
        <v>0.1202</v>
      </c>
      <c r="F111" s="496">
        <v>7.85E-2</v>
      </c>
      <c r="G111" s="496">
        <v>5.1700000000000003E-2</v>
      </c>
      <c r="H111" s="496">
        <v>0.1221</v>
      </c>
      <c r="I111" s="497">
        <v>8.0399999999999999E-2</v>
      </c>
      <c r="J111" s="4"/>
      <c r="K111" s="4"/>
      <c r="L111" s="4"/>
      <c r="M111" s="4"/>
      <c r="N111" s="4"/>
      <c r="O111" s="4"/>
      <c r="P111" s="4"/>
      <c r="Q111" s="4"/>
      <c r="R111" s="4"/>
      <c r="S111" s="4"/>
      <c r="T111" s="4"/>
      <c r="U111" s="4"/>
      <c r="V111" s="4"/>
      <c r="W111" s="4"/>
      <c r="X111" s="4"/>
      <c r="Y111" s="4"/>
      <c r="Z111" s="4"/>
    </row>
    <row r="112" spans="1:26" ht="15.75" customHeight="1">
      <c r="A112" s="498" t="s">
        <v>645</v>
      </c>
      <c r="B112" s="499" t="s">
        <v>503</v>
      </c>
      <c r="C112" s="500" t="s">
        <v>550</v>
      </c>
      <c r="D112" s="501">
        <v>9.1800000000000007E-2</v>
      </c>
      <c r="E112" s="501">
        <v>0.18440000000000001</v>
      </c>
      <c r="F112" s="501">
        <v>0.14269999999999999</v>
      </c>
      <c r="G112" s="500" t="s">
        <v>516</v>
      </c>
      <c r="H112" s="500" t="s">
        <v>516</v>
      </c>
      <c r="I112" s="502" t="s">
        <v>516</v>
      </c>
      <c r="J112" s="4"/>
      <c r="K112" s="4"/>
      <c r="L112" s="4"/>
      <c r="M112" s="4"/>
      <c r="N112" s="4"/>
      <c r="O112" s="4"/>
      <c r="P112" s="4"/>
      <c r="Q112" s="4"/>
      <c r="R112" s="4"/>
      <c r="S112" s="4"/>
      <c r="T112" s="4"/>
      <c r="U112" s="4"/>
      <c r="V112" s="4"/>
      <c r="W112" s="4"/>
      <c r="X112" s="4"/>
      <c r="Y112" s="4"/>
      <c r="Z112" s="4"/>
    </row>
    <row r="113" spans="1:26" ht="15.75" customHeight="1">
      <c r="A113" s="493" t="s">
        <v>646</v>
      </c>
      <c r="B113" s="494" t="s">
        <v>503</v>
      </c>
      <c r="C113" s="495" t="s">
        <v>521</v>
      </c>
      <c r="D113" s="496">
        <v>5.96E-2</v>
      </c>
      <c r="E113" s="496">
        <v>0.13439999999999999</v>
      </c>
      <c r="F113" s="496">
        <v>9.2700000000000005E-2</v>
      </c>
      <c r="G113" s="496">
        <v>3.2599999999999997E-2</v>
      </c>
      <c r="H113" s="496">
        <v>9.2399999999999996E-2</v>
      </c>
      <c r="I113" s="497">
        <v>5.0700000000000002E-2</v>
      </c>
      <c r="J113" s="4"/>
      <c r="K113" s="4"/>
      <c r="L113" s="4"/>
      <c r="M113" s="4"/>
      <c r="N113" s="4"/>
      <c r="O113" s="4"/>
      <c r="P113" s="4"/>
      <c r="Q113" s="4"/>
      <c r="R113" s="4"/>
      <c r="S113" s="4"/>
      <c r="T113" s="4"/>
      <c r="U113" s="4"/>
      <c r="V113" s="4"/>
      <c r="W113" s="4"/>
      <c r="X113" s="4"/>
      <c r="Y113" s="4"/>
      <c r="Z113" s="4"/>
    </row>
    <row r="114" spans="1:26" ht="15.75" customHeight="1">
      <c r="A114" s="498" t="s">
        <v>647</v>
      </c>
      <c r="B114" s="499" t="s">
        <v>518</v>
      </c>
      <c r="C114" s="500" t="s">
        <v>531</v>
      </c>
      <c r="D114" s="501">
        <v>0</v>
      </c>
      <c r="E114" s="501">
        <v>4.1700000000000001E-2</v>
      </c>
      <c r="F114" s="501">
        <v>0</v>
      </c>
      <c r="G114" s="501">
        <v>2.0000000000000001E-4</v>
      </c>
      <c r="H114" s="501">
        <v>4.2000000000000003E-2</v>
      </c>
      <c r="I114" s="504">
        <v>2.9999999999999997E-4</v>
      </c>
      <c r="J114" s="4"/>
      <c r="K114" s="4"/>
      <c r="L114" s="4"/>
      <c r="M114" s="4"/>
      <c r="N114" s="4"/>
      <c r="O114" s="4"/>
      <c r="P114" s="4"/>
      <c r="Q114" s="4"/>
      <c r="R114" s="4"/>
      <c r="S114" s="4"/>
      <c r="T114" s="4"/>
      <c r="U114" s="4"/>
      <c r="V114" s="4"/>
      <c r="W114" s="4"/>
      <c r="X114" s="4"/>
      <c r="Y114" s="4"/>
      <c r="Z114" s="4"/>
    </row>
    <row r="115" spans="1:26" ht="15.75" customHeight="1">
      <c r="A115" s="493" t="s">
        <v>648</v>
      </c>
      <c r="B115" s="494" t="s">
        <v>511</v>
      </c>
      <c r="C115" s="495" t="s">
        <v>528</v>
      </c>
      <c r="D115" s="496">
        <v>2.0199999999999999E-2</v>
      </c>
      <c r="E115" s="496">
        <v>7.3099999999999998E-2</v>
      </c>
      <c r="F115" s="496">
        <v>3.1399999999999997E-2</v>
      </c>
      <c r="G115" s="496">
        <v>1.09E-2</v>
      </c>
      <c r="H115" s="496">
        <v>5.8599999999999999E-2</v>
      </c>
      <c r="I115" s="497">
        <v>1.6899999999999998E-2</v>
      </c>
      <c r="J115" s="4"/>
      <c r="K115" s="4"/>
      <c r="L115" s="4"/>
      <c r="M115" s="4"/>
      <c r="N115" s="4"/>
      <c r="O115" s="4"/>
      <c r="P115" s="4"/>
      <c r="Q115" s="4"/>
      <c r="R115" s="4"/>
      <c r="S115" s="4"/>
      <c r="T115" s="4"/>
      <c r="U115" s="4"/>
      <c r="V115" s="4"/>
      <c r="W115" s="4"/>
      <c r="X115" s="4"/>
      <c r="Y115" s="4"/>
      <c r="Z115" s="4"/>
    </row>
    <row r="116" spans="1:26" ht="15.75" customHeight="1">
      <c r="A116" s="498" t="s">
        <v>649</v>
      </c>
      <c r="B116" s="499" t="s">
        <v>539</v>
      </c>
      <c r="C116" s="500" t="s">
        <v>524</v>
      </c>
      <c r="D116" s="501">
        <v>6.88E-2</v>
      </c>
      <c r="E116" s="501">
        <v>0.1487</v>
      </c>
      <c r="F116" s="501">
        <v>0.107</v>
      </c>
      <c r="G116" s="501">
        <v>4.7399999999999998E-2</v>
      </c>
      <c r="H116" s="501">
        <v>0.1154</v>
      </c>
      <c r="I116" s="504">
        <v>7.3700000000000002E-2</v>
      </c>
      <c r="J116" s="4"/>
      <c r="K116" s="4"/>
      <c r="L116" s="4"/>
      <c r="M116" s="4"/>
      <c r="N116" s="4"/>
      <c r="O116" s="4"/>
      <c r="P116" s="4"/>
      <c r="Q116" s="4"/>
      <c r="R116" s="4"/>
      <c r="S116" s="4"/>
      <c r="T116" s="4"/>
      <c r="U116" s="4"/>
      <c r="V116" s="4"/>
      <c r="W116" s="4"/>
      <c r="X116" s="4"/>
      <c r="Y116" s="4"/>
      <c r="Z116" s="4"/>
    </row>
    <row r="117" spans="1:26" ht="15.75" customHeight="1">
      <c r="A117" s="493" t="s">
        <v>650</v>
      </c>
      <c r="B117" s="494" t="s">
        <v>523</v>
      </c>
      <c r="C117" s="495" t="s">
        <v>528</v>
      </c>
      <c r="D117" s="496">
        <v>2.0199999999999999E-2</v>
      </c>
      <c r="E117" s="496">
        <v>7.3099999999999998E-2</v>
      </c>
      <c r="F117" s="496">
        <v>3.1399999999999997E-2</v>
      </c>
      <c r="G117" s="496">
        <v>1.52E-2</v>
      </c>
      <c r="H117" s="496">
        <v>6.5299999999999997E-2</v>
      </c>
      <c r="I117" s="497">
        <v>2.3599999999999999E-2</v>
      </c>
      <c r="J117" s="4"/>
      <c r="K117" s="4"/>
      <c r="L117" s="4"/>
      <c r="M117" s="4"/>
      <c r="N117" s="4"/>
      <c r="O117" s="4"/>
      <c r="P117" s="4"/>
      <c r="Q117" s="4"/>
      <c r="R117" s="4"/>
      <c r="S117" s="4"/>
      <c r="T117" s="4"/>
      <c r="U117" s="4"/>
      <c r="V117" s="4"/>
      <c r="W117" s="4"/>
      <c r="X117" s="4"/>
      <c r="Y117" s="4"/>
      <c r="Z117" s="4"/>
    </row>
    <row r="118" spans="1:26" ht="15.75" customHeight="1">
      <c r="A118" s="498" t="s">
        <v>651</v>
      </c>
      <c r="B118" s="499" t="s">
        <v>539</v>
      </c>
      <c r="C118" s="500" t="s">
        <v>537</v>
      </c>
      <c r="D118" s="501">
        <v>5.0500000000000003E-2</v>
      </c>
      <c r="E118" s="501">
        <v>0.1202</v>
      </c>
      <c r="F118" s="501">
        <v>7.85E-2</v>
      </c>
      <c r="G118" s="500" t="s">
        <v>516</v>
      </c>
      <c r="H118" s="500" t="s">
        <v>516</v>
      </c>
      <c r="I118" s="502" t="s">
        <v>516</v>
      </c>
      <c r="J118" s="4"/>
      <c r="K118" s="4"/>
      <c r="L118" s="4"/>
      <c r="M118" s="4"/>
      <c r="N118" s="4"/>
      <c r="O118" s="4"/>
      <c r="P118" s="4"/>
      <c r="Q118" s="4"/>
      <c r="R118" s="4"/>
      <c r="S118" s="4"/>
      <c r="T118" s="4"/>
      <c r="U118" s="4"/>
      <c r="V118" s="4"/>
      <c r="W118" s="4"/>
      <c r="X118" s="4"/>
      <c r="Y118" s="4"/>
      <c r="Z118" s="4"/>
    </row>
    <row r="119" spans="1:26" ht="15.75" customHeight="1">
      <c r="A119" s="493" t="s">
        <v>652</v>
      </c>
      <c r="B119" s="494" t="s">
        <v>523</v>
      </c>
      <c r="C119" s="495" t="s">
        <v>554</v>
      </c>
      <c r="D119" s="496">
        <v>2.3E-2</v>
      </c>
      <c r="E119" s="496">
        <v>7.7399999999999997E-2</v>
      </c>
      <c r="F119" s="496">
        <v>3.5700000000000003E-2</v>
      </c>
      <c r="G119" s="495" t="s">
        <v>516</v>
      </c>
      <c r="H119" s="495" t="s">
        <v>516</v>
      </c>
      <c r="I119" s="503" t="s">
        <v>516</v>
      </c>
      <c r="J119" s="4"/>
      <c r="K119" s="4"/>
      <c r="L119" s="4"/>
      <c r="M119" s="4"/>
      <c r="N119" s="4"/>
      <c r="O119" s="4"/>
      <c r="P119" s="4"/>
      <c r="Q119" s="4"/>
      <c r="R119" s="4"/>
      <c r="S119" s="4"/>
      <c r="T119" s="4"/>
      <c r="U119" s="4"/>
      <c r="V119" s="4"/>
      <c r="W119" s="4"/>
      <c r="X119" s="4"/>
      <c r="Y119" s="4"/>
      <c r="Z119" s="4"/>
    </row>
    <row r="120" spans="1:26" ht="15.75" customHeight="1">
      <c r="A120" s="498" t="s">
        <v>653</v>
      </c>
      <c r="B120" s="499" t="s">
        <v>523</v>
      </c>
      <c r="C120" s="500" t="s">
        <v>519</v>
      </c>
      <c r="D120" s="501">
        <v>1.47E-2</v>
      </c>
      <c r="E120" s="501">
        <v>6.4500000000000002E-2</v>
      </c>
      <c r="F120" s="501">
        <v>2.2800000000000001E-2</v>
      </c>
      <c r="G120" s="501">
        <v>0.01</v>
      </c>
      <c r="H120" s="501">
        <v>5.7200000000000001E-2</v>
      </c>
      <c r="I120" s="504">
        <v>1.55E-2</v>
      </c>
      <c r="J120" s="4"/>
      <c r="K120" s="4"/>
      <c r="L120" s="4"/>
      <c r="M120" s="4"/>
      <c r="N120" s="4"/>
      <c r="O120" s="4"/>
      <c r="P120" s="4"/>
      <c r="Q120" s="4"/>
      <c r="R120" s="4"/>
      <c r="S120" s="4"/>
      <c r="T120" s="4"/>
      <c r="U120" s="4"/>
      <c r="V120" s="4"/>
      <c r="W120" s="4"/>
      <c r="X120" s="4"/>
      <c r="Y120" s="4"/>
      <c r="Z120" s="4"/>
    </row>
    <row r="121" spans="1:26" ht="15.75" customHeight="1">
      <c r="A121" s="493" t="s">
        <v>654</v>
      </c>
      <c r="B121" s="494" t="s">
        <v>539</v>
      </c>
      <c r="C121" s="495" t="s">
        <v>602</v>
      </c>
      <c r="D121" s="496">
        <v>1.7500000000000002E-2</v>
      </c>
      <c r="E121" s="496">
        <v>6.8900000000000003E-2</v>
      </c>
      <c r="F121" s="496">
        <v>2.7199999999999998E-2</v>
      </c>
      <c r="G121" s="496">
        <v>8.8999999999999999E-3</v>
      </c>
      <c r="H121" s="496">
        <v>5.5500000000000001E-2</v>
      </c>
      <c r="I121" s="497">
        <v>1.38E-2</v>
      </c>
      <c r="J121" s="4"/>
      <c r="K121" s="4"/>
      <c r="L121" s="4"/>
      <c r="M121" s="4"/>
      <c r="N121" s="4"/>
      <c r="O121" s="4"/>
      <c r="P121" s="4"/>
      <c r="Q121" s="4"/>
      <c r="R121" s="4"/>
      <c r="S121" s="4"/>
      <c r="T121" s="4"/>
      <c r="U121" s="4"/>
      <c r="V121" s="4"/>
      <c r="W121" s="4"/>
      <c r="X121" s="4"/>
      <c r="Y121" s="4"/>
      <c r="Z121" s="4"/>
    </row>
    <row r="122" spans="1:26" ht="15.75" customHeight="1">
      <c r="A122" s="498" t="s">
        <v>655</v>
      </c>
      <c r="B122" s="499" t="s">
        <v>514</v>
      </c>
      <c r="C122" s="500" t="s">
        <v>565</v>
      </c>
      <c r="D122" s="501">
        <v>7.7999999999999996E-3</v>
      </c>
      <c r="E122" s="501">
        <v>5.3800000000000001E-2</v>
      </c>
      <c r="F122" s="501">
        <v>1.21E-2</v>
      </c>
      <c r="G122" s="501">
        <v>8.0999999999999996E-3</v>
      </c>
      <c r="H122" s="501">
        <v>5.4300000000000001E-2</v>
      </c>
      <c r="I122" s="504">
        <v>1.26E-2</v>
      </c>
      <c r="J122" s="4"/>
      <c r="K122" s="4"/>
      <c r="L122" s="4"/>
      <c r="M122" s="4"/>
      <c r="N122" s="4"/>
      <c r="O122" s="4"/>
      <c r="P122" s="4"/>
      <c r="Q122" s="4"/>
      <c r="R122" s="4"/>
      <c r="S122" s="4"/>
      <c r="T122" s="4"/>
      <c r="U122" s="4"/>
      <c r="V122" s="4"/>
      <c r="W122" s="4"/>
      <c r="X122" s="4"/>
      <c r="Y122" s="4"/>
      <c r="Z122" s="4"/>
    </row>
    <row r="123" spans="1:26" ht="15.75" customHeight="1">
      <c r="A123" s="493" t="s">
        <v>656</v>
      </c>
      <c r="B123" s="494" t="s">
        <v>518</v>
      </c>
      <c r="C123" s="495" t="s">
        <v>576</v>
      </c>
      <c r="D123" s="496">
        <v>1.0999999999999999E-2</v>
      </c>
      <c r="E123" s="496">
        <v>5.8799999999999998E-2</v>
      </c>
      <c r="F123" s="496">
        <v>1.7100000000000001E-2</v>
      </c>
      <c r="G123" s="496">
        <v>2.3999999999999998E-3</v>
      </c>
      <c r="H123" s="496">
        <v>4.5400000000000003E-2</v>
      </c>
      <c r="I123" s="497">
        <v>3.7000000000000002E-3</v>
      </c>
      <c r="J123" s="4"/>
      <c r="K123" s="4"/>
      <c r="L123" s="4"/>
      <c r="M123" s="4"/>
      <c r="N123" s="4"/>
      <c r="O123" s="4"/>
      <c r="P123" s="4"/>
      <c r="Q123" s="4"/>
      <c r="R123" s="4"/>
      <c r="S123" s="4"/>
      <c r="T123" s="4"/>
      <c r="U123" s="4"/>
      <c r="V123" s="4"/>
      <c r="W123" s="4"/>
      <c r="X123" s="4"/>
      <c r="Y123" s="4"/>
      <c r="Z123" s="4"/>
    </row>
    <row r="124" spans="1:26" ht="15.75" customHeight="1">
      <c r="A124" s="498" t="s">
        <v>657</v>
      </c>
      <c r="B124" s="499" t="s">
        <v>511</v>
      </c>
      <c r="C124" s="500" t="s">
        <v>512</v>
      </c>
      <c r="D124" s="501">
        <v>4.4999999999999997E-3</v>
      </c>
      <c r="E124" s="501">
        <v>4.87E-2</v>
      </c>
      <c r="F124" s="501">
        <v>7.0000000000000001E-3</v>
      </c>
      <c r="G124" s="501">
        <v>4.4999999999999997E-3</v>
      </c>
      <c r="H124" s="501">
        <v>4.87E-2</v>
      </c>
      <c r="I124" s="504">
        <v>7.0000000000000001E-3</v>
      </c>
      <c r="J124" s="4"/>
      <c r="K124" s="4"/>
      <c r="L124" s="4"/>
      <c r="M124" s="4"/>
      <c r="N124" s="4"/>
      <c r="O124" s="4"/>
      <c r="P124" s="4"/>
      <c r="Q124" s="4"/>
      <c r="R124" s="4"/>
      <c r="S124" s="4"/>
      <c r="T124" s="4"/>
      <c r="U124" s="4"/>
      <c r="V124" s="4"/>
      <c r="W124" s="4"/>
      <c r="X124" s="4"/>
      <c r="Y124" s="4"/>
      <c r="Z124" s="4"/>
    </row>
    <row r="125" spans="1:26" ht="15.75" customHeight="1">
      <c r="A125" s="493" t="s">
        <v>658</v>
      </c>
      <c r="B125" s="494" t="s">
        <v>511</v>
      </c>
      <c r="C125" s="495" t="s">
        <v>576</v>
      </c>
      <c r="D125" s="496">
        <v>1.0999999999999999E-2</v>
      </c>
      <c r="E125" s="496">
        <v>5.8799999999999998E-2</v>
      </c>
      <c r="F125" s="496">
        <v>1.7100000000000001E-2</v>
      </c>
      <c r="G125" s="495" t="s">
        <v>516</v>
      </c>
      <c r="H125" s="495" t="s">
        <v>516</v>
      </c>
      <c r="I125" s="503" t="s">
        <v>516</v>
      </c>
      <c r="J125" s="4"/>
      <c r="K125" s="4"/>
      <c r="L125" s="4"/>
      <c r="M125" s="4"/>
      <c r="N125" s="4"/>
      <c r="O125" s="4"/>
      <c r="P125" s="4"/>
      <c r="Q125" s="4"/>
      <c r="R125" s="4"/>
      <c r="S125" s="4"/>
      <c r="T125" s="4"/>
      <c r="U125" s="4"/>
      <c r="V125" s="4"/>
      <c r="W125" s="4"/>
      <c r="X125" s="4"/>
      <c r="Y125" s="4"/>
      <c r="Z125" s="4"/>
    </row>
    <row r="126" spans="1:26" ht="15.75" customHeight="1">
      <c r="A126" s="498" t="s">
        <v>659</v>
      </c>
      <c r="B126" s="499" t="s">
        <v>514</v>
      </c>
      <c r="C126" s="500" t="s">
        <v>528</v>
      </c>
      <c r="D126" s="501">
        <v>2.0199999999999999E-2</v>
      </c>
      <c r="E126" s="501">
        <v>7.3099999999999998E-2</v>
      </c>
      <c r="F126" s="501">
        <v>3.1399999999999997E-2</v>
      </c>
      <c r="G126" s="501">
        <v>2.12E-2</v>
      </c>
      <c r="H126" s="501">
        <v>7.4700000000000003E-2</v>
      </c>
      <c r="I126" s="504">
        <v>3.3000000000000002E-2</v>
      </c>
      <c r="J126" s="4"/>
      <c r="K126" s="4"/>
      <c r="L126" s="4"/>
      <c r="M126" s="4"/>
      <c r="N126" s="4"/>
      <c r="O126" s="4"/>
      <c r="P126" s="4"/>
      <c r="Q126" s="4"/>
      <c r="R126" s="4"/>
      <c r="S126" s="4"/>
      <c r="T126" s="4"/>
      <c r="U126" s="4"/>
      <c r="V126" s="4"/>
      <c r="W126" s="4"/>
      <c r="X126" s="4"/>
      <c r="Y126" s="4"/>
      <c r="Z126" s="4"/>
    </row>
    <row r="127" spans="1:26" ht="15.75" customHeight="1">
      <c r="A127" s="493" t="s">
        <v>660</v>
      </c>
      <c r="B127" s="494" t="s">
        <v>503</v>
      </c>
      <c r="C127" s="495" t="s">
        <v>537</v>
      </c>
      <c r="D127" s="496">
        <v>5.0500000000000003E-2</v>
      </c>
      <c r="E127" s="496">
        <v>0.1202</v>
      </c>
      <c r="F127" s="496">
        <v>7.85E-2</v>
      </c>
      <c r="G127" s="496">
        <v>2.8299999999999999E-2</v>
      </c>
      <c r="H127" s="496">
        <v>8.5699999999999998E-2</v>
      </c>
      <c r="I127" s="497">
        <v>4.3999999999999997E-2</v>
      </c>
      <c r="J127" s="4"/>
      <c r="K127" s="4"/>
      <c r="L127" s="4"/>
      <c r="M127" s="4"/>
      <c r="N127" s="4"/>
      <c r="O127" s="4"/>
      <c r="P127" s="4"/>
      <c r="Q127" s="4"/>
      <c r="R127" s="4"/>
      <c r="S127" s="4"/>
      <c r="T127" s="4"/>
      <c r="U127" s="4"/>
      <c r="V127" s="4"/>
      <c r="W127" s="4"/>
      <c r="X127" s="4"/>
      <c r="Y127" s="4"/>
      <c r="Z127" s="4"/>
    </row>
    <row r="128" spans="1:26" ht="15.75" customHeight="1">
      <c r="A128" s="498" t="s">
        <v>661</v>
      </c>
      <c r="B128" s="499" t="s">
        <v>511</v>
      </c>
      <c r="C128" s="500" t="s">
        <v>563</v>
      </c>
      <c r="D128" s="501">
        <v>5.4999999999999997E-3</v>
      </c>
      <c r="E128" s="501">
        <v>5.0299999999999997E-2</v>
      </c>
      <c r="F128" s="501">
        <v>8.6E-3</v>
      </c>
      <c r="G128" s="501">
        <v>8.3999999999999995E-3</v>
      </c>
      <c r="H128" s="501">
        <v>5.4800000000000001E-2</v>
      </c>
      <c r="I128" s="504">
        <v>1.3100000000000001E-2</v>
      </c>
      <c r="J128" s="4"/>
      <c r="K128" s="4"/>
      <c r="L128" s="4"/>
      <c r="M128" s="4"/>
      <c r="N128" s="4"/>
      <c r="O128" s="4"/>
      <c r="P128" s="4"/>
      <c r="Q128" s="4"/>
      <c r="R128" s="4"/>
      <c r="S128" s="4"/>
      <c r="T128" s="4"/>
      <c r="U128" s="4"/>
      <c r="V128" s="4"/>
      <c r="W128" s="4"/>
      <c r="X128" s="4"/>
      <c r="Y128" s="4"/>
      <c r="Z128" s="4"/>
    </row>
    <row r="129" spans="1:26" ht="15.75" customHeight="1">
      <c r="A129" s="493" t="s">
        <v>662</v>
      </c>
      <c r="B129" s="494" t="s">
        <v>503</v>
      </c>
      <c r="C129" s="495" t="s">
        <v>524</v>
      </c>
      <c r="D129" s="496">
        <v>6.88E-2</v>
      </c>
      <c r="E129" s="496">
        <v>0.1487</v>
      </c>
      <c r="F129" s="496">
        <v>0.107</v>
      </c>
      <c r="G129" s="496">
        <v>9.9199999999999997E-2</v>
      </c>
      <c r="H129" s="496">
        <v>0.19589999999999999</v>
      </c>
      <c r="I129" s="497">
        <v>0.1542</v>
      </c>
      <c r="J129" s="4"/>
      <c r="K129" s="4"/>
      <c r="L129" s="4"/>
      <c r="M129" s="4"/>
      <c r="N129" s="4"/>
      <c r="O129" s="4"/>
      <c r="P129" s="4"/>
      <c r="Q129" s="4"/>
      <c r="R129" s="4"/>
      <c r="S129" s="4"/>
      <c r="T129" s="4"/>
      <c r="U129" s="4"/>
      <c r="V129" s="4"/>
      <c r="W129" s="4"/>
      <c r="X129" s="4"/>
      <c r="Y129" s="4"/>
      <c r="Z129" s="4"/>
    </row>
    <row r="130" spans="1:26" ht="15.75" customHeight="1">
      <c r="A130" s="498" t="s">
        <v>663</v>
      </c>
      <c r="B130" s="499" t="s">
        <v>514</v>
      </c>
      <c r="C130" s="500" t="s">
        <v>574</v>
      </c>
      <c r="D130" s="501">
        <v>2.76E-2</v>
      </c>
      <c r="E130" s="501">
        <v>8.4599999999999995E-2</v>
      </c>
      <c r="F130" s="501">
        <v>4.2900000000000001E-2</v>
      </c>
      <c r="G130" s="501">
        <v>1.8599999999999998E-2</v>
      </c>
      <c r="H130" s="501">
        <v>7.0599999999999996E-2</v>
      </c>
      <c r="I130" s="504">
        <v>2.8899999999999999E-2</v>
      </c>
      <c r="J130" s="4"/>
      <c r="K130" s="4"/>
      <c r="L130" s="4"/>
      <c r="M130" s="4"/>
      <c r="N130" s="4"/>
      <c r="O130" s="4"/>
      <c r="P130" s="4"/>
      <c r="Q130" s="4"/>
      <c r="R130" s="4"/>
      <c r="S130" s="4"/>
      <c r="T130" s="4"/>
      <c r="U130" s="4"/>
      <c r="V130" s="4"/>
      <c r="W130" s="4"/>
      <c r="X130" s="4"/>
      <c r="Y130" s="4"/>
      <c r="Z130" s="4"/>
    </row>
    <row r="131" spans="1:26" ht="15.75" customHeight="1">
      <c r="A131" s="493" t="s">
        <v>664</v>
      </c>
      <c r="B131" s="494" t="s">
        <v>511</v>
      </c>
      <c r="C131" s="495" t="s">
        <v>554</v>
      </c>
      <c r="D131" s="496">
        <v>2.3E-2</v>
      </c>
      <c r="E131" s="496">
        <v>7.7399999999999997E-2</v>
      </c>
      <c r="F131" s="496">
        <v>3.5700000000000003E-2</v>
      </c>
      <c r="G131" s="495" t="e">
        <v>#N/A</v>
      </c>
      <c r="H131" s="495" t="e">
        <v>#N/A</v>
      </c>
      <c r="I131" s="503" t="e">
        <v>#N/A</v>
      </c>
      <c r="J131" s="4"/>
      <c r="K131" s="4"/>
      <c r="L131" s="4"/>
      <c r="M131" s="4"/>
      <c r="N131" s="4"/>
      <c r="O131" s="4"/>
      <c r="P131" s="4"/>
      <c r="Q131" s="4"/>
      <c r="R131" s="4"/>
      <c r="S131" s="4"/>
      <c r="T131" s="4"/>
      <c r="U131" s="4"/>
      <c r="V131" s="4"/>
      <c r="W131" s="4"/>
      <c r="X131" s="4"/>
      <c r="Y131" s="4"/>
      <c r="Z131" s="4"/>
    </row>
    <row r="132" spans="1:26" ht="15.75" customHeight="1">
      <c r="A132" s="498" t="s">
        <v>665</v>
      </c>
      <c r="B132" s="499" t="s">
        <v>539</v>
      </c>
      <c r="C132" s="500" t="s">
        <v>531</v>
      </c>
      <c r="D132" s="501">
        <v>0</v>
      </c>
      <c r="E132" s="501">
        <v>4.1700000000000001E-2</v>
      </c>
      <c r="F132" s="501">
        <v>0</v>
      </c>
      <c r="G132" s="500" t="e">
        <v>#N/A</v>
      </c>
      <c r="H132" s="500" t="e">
        <v>#N/A</v>
      </c>
      <c r="I132" s="502" t="e">
        <v>#N/A</v>
      </c>
      <c r="J132" s="4"/>
      <c r="K132" s="4"/>
      <c r="L132" s="4"/>
      <c r="M132" s="4"/>
      <c r="N132" s="4"/>
      <c r="O132" s="4"/>
      <c r="P132" s="4"/>
      <c r="Q132" s="4"/>
      <c r="R132" s="4"/>
      <c r="S132" s="4"/>
      <c r="T132" s="4"/>
      <c r="U132" s="4"/>
      <c r="V132" s="4"/>
      <c r="W132" s="4"/>
      <c r="X132" s="4"/>
      <c r="Y132" s="4"/>
      <c r="Z132" s="4"/>
    </row>
    <row r="133" spans="1:26" ht="15.75" customHeight="1">
      <c r="A133" s="493" t="s">
        <v>666</v>
      </c>
      <c r="B133" s="494" t="s">
        <v>514</v>
      </c>
      <c r="C133" s="495" t="s">
        <v>576</v>
      </c>
      <c r="D133" s="496">
        <v>1.0999999999999999E-2</v>
      </c>
      <c r="E133" s="496">
        <v>5.8799999999999998E-2</v>
      </c>
      <c r="F133" s="496">
        <v>1.7100000000000001E-2</v>
      </c>
      <c r="G133" s="496">
        <v>5.1000000000000004E-3</v>
      </c>
      <c r="H133" s="496">
        <v>4.9599999999999998E-2</v>
      </c>
      <c r="I133" s="497">
        <v>7.9000000000000008E-3</v>
      </c>
      <c r="J133" s="4"/>
      <c r="K133" s="4"/>
      <c r="L133" s="4"/>
      <c r="M133" s="4"/>
      <c r="N133" s="4"/>
      <c r="O133" s="4"/>
      <c r="P133" s="4"/>
      <c r="Q133" s="4"/>
      <c r="R133" s="4"/>
      <c r="S133" s="4"/>
      <c r="T133" s="4"/>
      <c r="U133" s="4"/>
      <c r="V133" s="4"/>
      <c r="W133" s="4"/>
      <c r="X133" s="4"/>
      <c r="Y133" s="4"/>
      <c r="Z133" s="4"/>
    </row>
    <row r="134" spans="1:26" ht="15.75" customHeight="1">
      <c r="A134" s="498" t="s">
        <v>667</v>
      </c>
      <c r="B134" s="499" t="s">
        <v>514</v>
      </c>
      <c r="C134" s="500" t="s">
        <v>565</v>
      </c>
      <c r="D134" s="501">
        <v>7.7999999999999996E-3</v>
      </c>
      <c r="E134" s="501">
        <v>5.3800000000000001E-2</v>
      </c>
      <c r="F134" s="501">
        <v>1.21E-2</v>
      </c>
      <c r="G134" s="501">
        <v>6.6E-3</v>
      </c>
      <c r="H134" s="501">
        <v>5.1999999999999998E-2</v>
      </c>
      <c r="I134" s="504">
        <v>1.03E-2</v>
      </c>
      <c r="J134" s="4"/>
      <c r="K134" s="4"/>
      <c r="L134" s="4"/>
      <c r="M134" s="4"/>
      <c r="N134" s="4"/>
      <c r="O134" s="4"/>
      <c r="P134" s="4"/>
      <c r="Q134" s="4"/>
      <c r="R134" s="4"/>
      <c r="S134" s="4"/>
      <c r="T134" s="4"/>
      <c r="U134" s="4"/>
      <c r="V134" s="4"/>
      <c r="W134" s="4"/>
      <c r="X134" s="4"/>
      <c r="Y134" s="4"/>
      <c r="Z134" s="4"/>
    </row>
    <row r="135" spans="1:26" ht="15.75" customHeight="1">
      <c r="A135" s="493" t="s">
        <v>668</v>
      </c>
      <c r="B135" s="494" t="s">
        <v>539</v>
      </c>
      <c r="C135" s="495" t="s">
        <v>524</v>
      </c>
      <c r="D135" s="496">
        <v>6.88E-2</v>
      </c>
      <c r="E135" s="496">
        <v>0.1487</v>
      </c>
      <c r="F135" s="496">
        <v>0.107</v>
      </c>
      <c r="G135" s="495" t="e">
        <v>#N/A</v>
      </c>
      <c r="H135" s="495" t="e">
        <v>#N/A</v>
      </c>
      <c r="I135" s="503" t="e">
        <v>#N/A</v>
      </c>
      <c r="J135" s="4"/>
      <c r="K135" s="4"/>
      <c r="L135" s="4"/>
      <c r="M135" s="4"/>
      <c r="N135" s="4"/>
      <c r="O135" s="4"/>
      <c r="P135" s="4"/>
      <c r="Q135" s="4"/>
      <c r="R135" s="4"/>
      <c r="S135" s="4"/>
      <c r="T135" s="4"/>
      <c r="U135" s="4"/>
      <c r="V135" s="4"/>
      <c r="W135" s="4"/>
      <c r="X135" s="4"/>
      <c r="Y135" s="4"/>
      <c r="Z135" s="4"/>
    </row>
    <row r="136" spans="1:26" ht="15.75" customHeight="1">
      <c r="A136" s="498" t="s">
        <v>669</v>
      </c>
      <c r="B136" s="499" t="s">
        <v>503</v>
      </c>
      <c r="C136" s="500" t="s">
        <v>574</v>
      </c>
      <c r="D136" s="501">
        <v>2.76E-2</v>
      </c>
      <c r="E136" s="501">
        <v>8.4599999999999995E-2</v>
      </c>
      <c r="F136" s="501">
        <v>4.2900000000000001E-2</v>
      </c>
      <c r="G136" s="501">
        <v>2.07E-2</v>
      </c>
      <c r="H136" s="501">
        <v>7.3899999999999993E-2</v>
      </c>
      <c r="I136" s="504">
        <v>3.2199999999999999E-2</v>
      </c>
      <c r="J136" s="4"/>
      <c r="K136" s="4"/>
      <c r="L136" s="4"/>
      <c r="M136" s="4"/>
      <c r="N136" s="4"/>
      <c r="O136" s="4"/>
      <c r="P136" s="4"/>
      <c r="Q136" s="4"/>
      <c r="R136" s="4"/>
      <c r="S136" s="4"/>
      <c r="T136" s="4"/>
      <c r="U136" s="4"/>
      <c r="V136" s="4"/>
      <c r="W136" s="4"/>
      <c r="X136" s="4"/>
      <c r="Y136" s="4"/>
      <c r="Z136" s="4"/>
    </row>
    <row r="137" spans="1:26" ht="15.75" customHeight="1">
      <c r="A137" s="493" t="s">
        <v>670</v>
      </c>
      <c r="B137" s="494" t="s">
        <v>518</v>
      </c>
      <c r="C137" s="495" t="s">
        <v>576</v>
      </c>
      <c r="D137" s="496">
        <v>1.0999999999999999E-2</v>
      </c>
      <c r="E137" s="496">
        <v>5.8799999999999998E-2</v>
      </c>
      <c r="F137" s="496">
        <v>1.7100000000000001E-2</v>
      </c>
      <c r="G137" s="496">
        <v>2.3E-3</v>
      </c>
      <c r="H137" s="496">
        <v>4.53E-2</v>
      </c>
      <c r="I137" s="497">
        <v>3.5999999999999999E-3</v>
      </c>
      <c r="J137" s="4"/>
      <c r="K137" s="4"/>
      <c r="L137" s="4"/>
      <c r="M137" s="4"/>
      <c r="N137" s="4"/>
      <c r="O137" s="4"/>
      <c r="P137" s="4"/>
      <c r="Q137" s="4"/>
      <c r="R137" s="4"/>
      <c r="S137" s="4"/>
      <c r="T137" s="4"/>
      <c r="U137" s="4"/>
      <c r="V137" s="4"/>
      <c r="W137" s="4"/>
      <c r="X137" s="4"/>
      <c r="Y137" s="4"/>
      <c r="Z137" s="4"/>
    </row>
    <row r="138" spans="1:26" ht="15.75" customHeight="1">
      <c r="A138" s="498" t="s">
        <v>671</v>
      </c>
      <c r="B138" s="499" t="s">
        <v>539</v>
      </c>
      <c r="C138" s="500" t="s">
        <v>524</v>
      </c>
      <c r="D138" s="501">
        <v>6.88E-2</v>
      </c>
      <c r="E138" s="501">
        <v>0.1487</v>
      </c>
      <c r="F138" s="501">
        <v>0.107</v>
      </c>
      <c r="G138" s="500" t="s">
        <v>516</v>
      </c>
      <c r="H138" s="500" t="s">
        <v>516</v>
      </c>
      <c r="I138" s="502" t="s">
        <v>516</v>
      </c>
      <c r="J138" s="4"/>
      <c r="K138" s="4"/>
      <c r="L138" s="4"/>
      <c r="M138" s="4"/>
      <c r="N138" s="4"/>
      <c r="O138" s="4"/>
      <c r="P138" s="4"/>
      <c r="Q138" s="4"/>
      <c r="R138" s="4"/>
      <c r="S138" s="4"/>
      <c r="T138" s="4"/>
      <c r="U138" s="4"/>
      <c r="V138" s="4"/>
      <c r="W138" s="4"/>
      <c r="X138" s="4"/>
      <c r="Y138" s="4"/>
      <c r="Z138" s="4"/>
    </row>
    <row r="139" spans="1:26" ht="15.75" customHeight="1">
      <c r="A139" s="493" t="s">
        <v>672</v>
      </c>
      <c r="B139" s="494" t="s">
        <v>527</v>
      </c>
      <c r="C139" s="495" t="s">
        <v>574</v>
      </c>
      <c r="D139" s="496">
        <v>2.76E-2</v>
      </c>
      <c r="E139" s="496">
        <v>8.4599999999999995E-2</v>
      </c>
      <c r="F139" s="496">
        <v>4.2900000000000001E-2</v>
      </c>
      <c r="G139" s="495" t="e">
        <v>#N/A</v>
      </c>
      <c r="H139" s="495" t="e">
        <v>#N/A</v>
      </c>
      <c r="I139" s="503" t="e">
        <v>#N/A</v>
      </c>
      <c r="J139" s="4"/>
      <c r="K139" s="4"/>
      <c r="L139" s="4"/>
      <c r="M139" s="4"/>
      <c r="N139" s="4"/>
      <c r="O139" s="4"/>
      <c r="P139" s="4"/>
      <c r="Q139" s="4"/>
      <c r="R139" s="4"/>
      <c r="S139" s="4"/>
      <c r="T139" s="4"/>
      <c r="U139" s="4"/>
      <c r="V139" s="4"/>
      <c r="W139" s="4"/>
      <c r="X139" s="4"/>
      <c r="Y139" s="4"/>
      <c r="Z139" s="4"/>
    </row>
    <row r="140" spans="1:26" ht="15.75" customHeight="1">
      <c r="A140" s="498" t="s">
        <v>673</v>
      </c>
      <c r="B140" s="499" t="s">
        <v>527</v>
      </c>
      <c r="C140" s="500" t="s">
        <v>521</v>
      </c>
      <c r="D140" s="501">
        <v>5.96E-2</v>
      </c>
      <c r="E140" s="501">
        <v>0.13439999999999999</v>
      </c>
      <c r="F140" s="501">
        <v>9.2700000000000005E-2</v>
      </c>
      <c r="G140" s="500" t="e">
        <v>#N/A</v>
      </c>
      <c r="H140" s="500" t="e">
        <v>#N/A</v>
      </c>
      <c r="I140" s="502" t="e">
        <v>#N/A</v>
      </c>
      <c r="J140" s="4"/>
      <c r="K140" s="4"/>
      <c r="L140" s="4"/>
      <c r="M140" s="4"/>
      <c r="N140" s="4"/>
      <c r="O140" s="4"/>
      <c r="P140" s="4"/>
      <c r="Q140" s="4"/>
      <c r="R140" s="4"/>
      <c r="S140" s="4"/>
      <c r="T140" s="4"/>
      <c r="U140" s="4"/>
      <c r="V140" s="4"/>
      <c r="W140" s="4"/>
      <c r="X140" s="4"/>
      <c r="Y140" s="4"/>
      <c r="Z140" s="4"/>
    </row>
    <row r="141" spans="1:26" ht="15.75" customHeight="1">
      <c r="A141" s="493" t="s">
        <v>674</v>
      </c>
      <c r="B141" s="494" t="s">
        <v>523</v>
      </c>
      <c r="C141" s="495" t="s">
        <v>524</v>
      </c>
      <c r="D141" s="496">
        <v>6.88E-2</v>
      </c>
      <c r="E141" s="496">
        <v>0.1487</v>
      </c>
      <c r="F141" s="496">
        <v>0.107</v>
      </c>
      <c r="G141" s="495" t="e">
        <v>#N/A</v>
      </c>
      <c r="H141" s="495" t="e">
        <v>#N/A</v>
      </c>
      <c r="I141" s="503" t="e">
        <v>#N/A</v>
      </c>
      <c r="J141" s="4"/>
      <c r="K141" s="4"/>
      <c r="L141" s="4"/>
      <c r="M141" s="4"/>
      <c r="N141" s="4"/>
      <c r="O141" s="4"/>
      <c r="P141" s="4"/>
      <c r="Q141" s="4"/>
      <c r="R141" s="4"/>
      <c r="S141" s="4"/>
      <c r="T141" s="4"/>
      <c r="U141" s="4"/>
      <c r="V141" s="4"/>
      <c r="W141" s="4"/>
      <c r="X141" s="4"/>
      <c r="Y141" s="4"/>
      <c r="Z141" s="4"/>
    </row>
    <row r="142" spans="1:26" ht="15.75" customHeight="1">
      <c r="A142" s="498" t="s">
        <v>675</v>
      </c>
      <c r="B142" s="499" t="s">
        <v>503</v>
      </c>
      <c r="C142" s="500" t="s">
        <v>537</v>
      </c>
      <c r="D142" s="501">
        <v>5.0500000000000003E-2</v>
      </c>
      <c r="E142" s="501">
        <v>0.1202</v>
      </c>
      <c r="F142" s="501">
        <v>7.85E-2</v>
      </c>
      <c r="G142" s="500" t="e">
        <v>#N/A</v>
      </c>
      <c r="H142" s="500" t="e">
        <v>#N/A</v>
      </c>
      <c r="I142" s="502" t="e">
        <v>#N/A</v>
      </c>
      <c r="J142" s="4"/>
      <c r="K142" s="4"/>
      <c r="L142" s="4"/>
      <c r="M142" s="4"/>
      <c r="N142" s="4"/>
      <c r="O142" s="4"/>
      <c r="P142" s="4"/>
      <c r="Q142" s="4"/>
      <c r="R142" s="4"/>
      <c r="S142" s="4"/>
      <c r="T142" s="4"/>
      <c r="U142" s="4"/>
      <c r="V142" s="4"/>
      <c r="W142" s="4"/>
      <c r="X142" s="4"/>
      <c r="Y142" s="4"/>
      <c r="Z142" s="4"/>
    </row>
    <row r="143" spans="1:26" ht="15.75" customHeight="1">
      <c r="A143" s="493" t="s">
        <v>676</v>
      </c>
      <c r="B143" s="494" t="s">
        <v>518</v>
      </c>
      <c r="C143" s="495" t="s">
        <v>531</v>
      </c>
      <c r="D143" s="496">
        <v>0</v>
      </c>
      <c r="E143" s="496">
        <v>4.1700000000000001E-2</v>
      </c>
      <c r="F143" s="496">
        <v>0</v>
      </c>
      <c r="G143" s="496">
        <v>5.0000000000000001E-4</v>
      </c>
      <c r="H143" s="496">
        <v>4.2500000000000003E-2</v>
      </c>
      <c r="I143" s="497">
        <v>8.0000000000000004E-4</v>
      </c>
      <c r="J143" s="4"/>
      <c r="K143" s="4"/>
      <c r="L143" s="4"/>
      <c r="M143" s="4"/>
      <c r="N143" s="4"/>
      <c r="O143" s="4"/>
      <c r="P143" s="4"/>
      <c r="Q143" s="4"/>
      <c r="R143" s="4"/>
      <c r="S143" s="4"/>
      <c r="T143" s="4"/>
      <c r="U143" s="4"/>
      <c r="V143" s="4"/>
      <c r="W143" s="4"/>
      <c r="X143" s="4"/>
      <c r="Y143" s="4"/>
      <c r="Z143" s="4"/>
    </row>
    <row r="144" spans="1:26" ht="15.75" customHeight="1">
      <c r="A144" s="498" t="s">
        <v>677</v>
      </c>
      <c r="B144" s="499" t="s">
        <v>518</v>
      </c>
      <c r="C144" s="500" t="s">
        <v>531</v>
      </c>
      <c r="D144" s="501">
        <v>0</v>
      </c>
      <c r="E144" s="501">
        <v>4.1700000000000001E-2</v>
      </c>
      <c r="F144" s="501">
        <v>0</v>
      </c>
      <c r="G144" s="501">
        <v>0</v>
      </c>
      <c r="H144" s="501">
        <v>4.1700000000000001E-2</v>
      </c>
      <c r="I144" s="504">
        <v>0</v>
      </c>
      <c r="J144" s="4"/>
      <c r="K144" s="4"/>
      <c r="L144" s="4"/>
      <c r="M144" s="4"/>
      <c r="N144" s="4"/>
      <c r="O144" s="4"/>
      <c r="P144" s="4"/>
      <c r="Q144" s="4"/>
      <c r="R144" s="4"/>
      <c r="S144" s="4"/>
      <c r="T144" s="4"/>
      <c r="U144" s="4"/>
      <c r="V144" s="4"/>
      <c r="W144" s="4"/>
      <c r="X144" s="4"/>
      <c r="Y144" s="4"/>
      <c r="Z144" s="4"/>
    </row>
    <row r="145" spans="1:26" ht="15.75" customHeight="1">
      <c r="A145" s="493" t="s">
        <v>678</v>
      </c>
      <c r="B145" s="494" t="s">
        <v>539</v>
      </c>
      <c r="C145" s="495" t="s">
        <v>563</v>
      </c>
      <c r="D145" s="496">
        <v>5.4999999999999997E-3</v>
      </c>
      <c r="E145" s="496">
        <v>5.0299999999999997E-2</v>
      </c>
      <c r="F145" s="496">
        <v>8.6E-3</v>
      </c>
      <c r="G145" s="495" t="e">
        <v>#N/A</v>
      </c>
      <c r="H145" s="495" t="e">
        <v>#N/A</v>
      </c>
      <c r="I145" s="503" t="e">
        <v>#N/A</v>
      </c>
      <c r="J145" s="4"/>
      <c r="K145" s="4"/>
      <c r="L145" s="4"/>
      <c r="M145" s="4"/>
      <c r="N145" s="4"/>
      <c r="O145" s="4"/>
      <c r="P145" s="4"/>
      <c r="Q145" s="4"/>
      <c r="R145" s="4"/>
      <c r="S145" s="4"/>
      <c r="T145" s="4"/>
      <c r="U145" s="4"/>
      <c r="V145" s="4"/>
      <c r="W145" s="4"/>
      <c r="X145" s="4"/>
      <c r="Y145" s="4"/>
      <c r="Z145" s="4"/>
    </row>
    <row r="146" spans="1:26" ht="15.75" customHeight="1">
      <c r="A146" s="498" t="s">
        <v>679</v>
      </c>
      <c r="B146" s="499" t="s">
        <v>514</v>
      </c>
      <c r="C146" s="500" t="s">
        <v>537</v>
      </c>
      <c r="D146" s="501">
        <v>5.0500000000000003E-2</v>
      </c>
      <c r="E146" s="501">
        <v>0.1202</v>
      </c>
      <c r="F146" s="501">
        <v>7.85E-2</v>
      </c>
      <c r="G146" s="500" t="e">
        <v>#N/A</v>
      </c>
      <c r="H146" s="500" t="e">
        <v>#N/A</v>
      </c>
      <c r="I146" s="502" t="e">
        <v>#N/A</v>
      </c>
      <c r="J146" s="4"/>
      <c r="K146" s="4"/>
      <c r="L146" s="4"/>
      <c r="M146" s="4"/>
      <c r="N146" s="4"/>
      <c r="O146" s="4"/>
      <c r="P146" s="4"/>
      <c r="Q146" s="4"/>
      <c r="R146" s="4"/>
      <c r="S146" s="4"/>
      <c r="T146" s="4"/>
      <c r="U146" s="4"/>
      <c r="V146" s="4"/>
      <c r="W146" s="4"/>
      <c r="X146" s="4"/>
      <c r="Y146" s="4"/>
      <c r="Z146" s="4"/>
    </row>
    <row r="147" spans="1:26" ht="15.75" customHeight="1">
      <c r="A147" s="493" t="s">
        <v>680</v>
      </c>
      <c r="B147" s="494" t="s">
        <v>503</v>
      </c>
      <c r="C147" s="495" t="s">
        <v>547</v>
      </c>
      <c r="D147" s="496">
        <v>4.1300000000000003E-2</v>
      </c>
      <c r="E147" s="496">
        <v>0.10589999999999999</v>
      </c>
      <c r="F147" s="496">
        <v>6.4199999999999993E-2</v>
      </c>
      <c r="G147" s="495" t="e">
        <v>#N/A</v>
      </c>
      <c r="H147" s="495" t="e">
        <v>#N/A</v>
      </c>
      <c r="I147" s="503" t="e">
        <v>#N/A</v>
      </c>
      <c r="J147" s="4"/>
      <c r="K147" s="4"/>
      <c r="L147" s="4"/>
      <c r="M147" s="4"/>
      <c r="N147" s="4"/>
      <c r="O147" s="4"/>
      <c r="P147" s="4"/>
      <c r="Q147" s="4"/>
      <c r="R147" s="4"/>
      <c r="S147" s="4"/>
      <c r="T147" s="4"/>
      <c r="U147" s="4"/>
      <c r="V147" s="4"/>
      <c r="W147" s="4"/>
      <c r="X147" s="4"/>
      <c r="Y147" s="4"/>
      <c r="Z147" s="4"/>
    </row>
    <row r="148" spans="1:26" ht="15.75" customHeight="1">
      <c r="A148" s="498" t="s">
        <v>681</v>
      </c>
      <c r="B148" s="499" t="s">
        <v>539</v>
      </c>
      <c r="C148" s="500" t="s">
        <v>519</v>
      </c>
      <c r="D148" s="501">
        <v>1.47E-2</v>
      </c>
      <c r="E148" s="501">
        <v>6.4500000000000002E-2</v>
      </c>
      <c r="F148" s="501">
        <v>2.2800000000000001E-2</v>
      </c>
      <c r="G148" s="501">
        <v>5.4000000000000003E-3</v>
      </c>
      <c r="H148" s="501">
        <v>5.0099999999999999E-2</v>
      </c>
      <c r="I148" s="504">
        <v>8.3999999999999995E-3</v>
      </c>
      <c r="J148" s="4"/>
      <c r="K148" s="4"/>
      <c r="L148" s="4"/>
      <c r="M148" s="4"/>
      <c r="N148" s="4"/>
      <c r="O148" s="4"/>
      <c r="P148" s="4"/>
      <c r="Q148" s="4"/>
      <c r="R148" s="4"/>
      <c r="S148" s="4"/>
      <c r="T148" s="4"/>
      <c r="U148" s="4"/>
      <c r="V148" s="4"/>
      <c r="W148" s="4"/>
      <c r="X148" s="4"/>
      <c r="Y148" s="4"/>
      <c r="Z148" s="4"/>
    </row>
    <row r="149" spans="1:26" ht="15.75" customHeight="1">
      <c r="A149" s="493" t="s">
        <v>682</v>
      </c>
      <c r="B149" s="494" t="s">
        <v>503</v>
      </c>
      <c r="C149" s="495" t="s">
        <v>521</v>
      </c>
      <c r="D149" s="496">
        <v>5.96E-2</v>
      </c>
      <c r="E149" s="496">
        <v>0.13439999999999999</v>
      </c>
      <c r="F149" s="496">
        <v>9.2700000000000005E-2</v>
      </c>
      <c r="G149" s="495" t="e">
        <v>#N/A</v>
      </c>
      <c r="H149" s="495" t="e">
        <v>#N/A</v>
      </c>
      <c r="I149" s="503" t="e">
        <v>#N/A</v>
      </c>
      <c r="J149" s="4"/>
      <c r="K149" s="4"/>
      <c r="L149" s="4"/>
      <c r="M149" s="4"/>
      <c r="N149" s="4"/>
      <c r="O149" s="4"/>
      <c r="P149" s="4"/>
      <c r="Q149" s="4"/>
      <c r="R149" s="4"/>
      <c r="S149" s="4"/>
      <c r="T149" s="4"/>
      <c r="U149" s="4"/>
      <c r="V149" s="4"/>
      <c r="W149" s="4"/>
      <c r="X149" s="4"/>
      <c r="Y149" s="4"/>
      <c r="Z149" s="4"/>
    </row>
    <row r="150" spans="1:26" ht="15.75" customHeight="1">
      <c r="A150" s="498" t="s">
        <v>683</v>
      </c>
      <c r="B150" s="499" t="s">
        <v>527</v>
      </c>
      <c r="C150" s="500" t="s">
        <v>574</v>
      </c>
      <c r="D150" s="501">
        <v>2.76E-2</v>
      </c>
      <c r="E150" s="501">
        <v>8.4599999999999995E-2</v>
      </c>
      <c r="F150" s="501">
        <v>4.2900000000000001E-2</v>
      </c>
      <c r="G150" s="500" t="e">
        <v>#N/A</v>
      </c>
      <c r="H150" s="500" t="e">
        <v>#N/A</v>
      </c>
      <c r="I150" s="502" t="e">
        <v>#N/A</v>
      </c>
      <c r="J150" s="4"/>
      <c r="K150" s="4"/>
      <c r="L150" s="4"/>
      <c r="M150" s="4"/>
      <c r="N150" s="4"/>
      <c r="O150" s="4"/>
      <c r="P150" s="4"/>
      <c r="Q150" s="4"/>
      <c r="R150" s="4"/>
      <c r="S150" s="4"/>
      <c r="T150" s="4"/>
      <c r="U150" s="4"/>
      <c r="V150" s="4"/>
      <c r="W150" s="4"/>
      <c r="X150" s="4"/>
      <c r="Y150" s="4"/>
      <c r="Z150" s="4"/>
    </row>
    <row r="151" spans="1:26" ht="15.75" customHeight="1">
      <c r="A151" s="493" t="s">
        <v>684</v>
      </c>
      <c r="B151" s="494" t="s">
        <v>503</v>
      </c>
      <c r="C151" s="495" t="s">
        <v>524</v>
      </c>
      <c r="D151" s="496">
        <v>6.88E-2</v>
      </c>
      <c r="E151" s="496">
        <v>0.1487</v>
      </c>
      <c r="F151" s="496">
        <v>0.107</v>
      </c>
      <c r="G151" s="496">
        <v>6.9400000000000003E-2</v>
      </c>
      <c r="H151" s="496">
        <v>0.14960000000000001</v>
      </c>
      <c r="I151" s="497">
        <v>0.1079</v>
      </c>
      <c r="J151" s="4"/>
      <c r="K151" s="4"/>
      <c r="L151" s="4"/>
      <c r="M151" s="4"/>
      <c r="N151" s="4"/>
      <c r="O151" s="4"/>
      <c r="P151" s="4"/>
      <c r="Q151" s="4"/>
      <c r="R151" s="4"/>
      <c r="S151" s="4"/>
      <c r="T151" s="4"/>
      <c r="U151" s="4"/>
      <c r="V151" s="4"/>
      <c r="W151" s="4"/>
      <c r="X151" s="4"/>
      <c r="Y151" s="4"/>
      <c r="Z151" s="4"/>
    </row>
    <row r="152" spans="1:26" ht="15.75" customHeight="1">
      <c r="A152" s="498" t="s">
        <v>685</v>
      </c>
      <c r="B152" s="499" t="s">
        <v>518</v>
      </c>
      <c r="C152" s="500" t="s">
        <v>515</v>
      </c>
      <c r="D152" s="501">
        <v>3.3000000000000002E-2</v>
      </c>
      <c r="E152" s="501">
        <v>9.2999999999999999E-2</v>
      </c>
      <c r="F152" s="501">
        <v>5.1299999999999998E-2</v>
      </c>
      <c r="G152" s="501">
        <v>2.7E-2</v>
      </c>
      <c r="H152" s="501">
        <v>8.3699999999999997E-2</v>
      </c>
      <c r="I152" s="504">
        <v>4.2000000000000003E-2</v>
      </c>
      <c r="J152" s="4"/>
      <c r="K152" s="4"/>
      <c r="L152" s="4"/>
      <c r="M152" s="4"/>
      <c r="N152" s="4"/>
      <c r="O152" s="4"/>
      <c r="P152" s="4"/>
      <c r="Q152" s="4"/>
      <c r="R152" s="4"/>
      <c r="S152" s="4"/>
      <c r="T152" s="4"/>
      <c r="U152" s="4"/>
      <c r="V152" s="4"/>
      <c r="W152" s="4"/>
      <c r="X152" s="4"/>
      <c r="Y152" s="4"/>
      <c r="Z152" s="4"/>
    </row>
    <row r="153" spans="1:26" ht="15.75" customHeight="1">
      <c r="A153" s="493" t="s">
        <v>686</v>
      </c>
      <c r="B153" s="494" t="s">
        <v>527</v>
      </c>
      <c r="C153" s="495" t="s">
        <v>519</v>
      </c>
      <c r="D153" s="496">
        <v>1.47E-2</v>
      </c>
      <c r="E153" s="496">
        <v>6.4500000000000002E-2</v>
      </c>
      <c r="F153" s="496">
        <v>2.2800000000000001E-2</v>
      </c>
      <c r="G153" s="495" t="e">
        <v>#N/A</v>
      </c>
      <c r="H153" s="495" t="e">
        <v>#N/A</v>
      </c>
      <c r="I153" s="503" t="e">
        <v>#N/A</v>
      </c>
      <c r="J153" s="4"/>
      <c r="K153" s="4"/>
      <c r="L153" s="4"/>
      <c r="M153" s="4"/>
      <c r="N153" s="4"/>
      <c r="O153" s="4"/>
      <c r="P153" s="4"/>
      <c r="Q153" s="4"/>
      <c r="R153" s="4"/>
      <c r="S153" s="4"/>
      <c r="T153" s="4"/>
      <c r="U153" s="4"/>
      <c r="V153" s="4"/>
      <c r="W153" s="4"/>
      <c r="X153" s="4"/>
      <c r="Y153" s="4"/>
      <c r="Z153" s="4"/>
    </row>
    <row r="154" spans="1:26" ht="15.75" customHeight="1">
      <c r="A154" s="498" t="s">
        <v>687</v>
      </c>
      <c r="B154" s="499" t="s">
        <v>503</v>
      </c>
      <c r="C154" s="500" t="s">
        <v>521</v>
      </c>
      <c r="D154" s="501">
        <v>5.96E-2</v>
      </c>
      <c r="E154" s="501">
        <v>0.13439999999999999</v>
      </c>
      <c r="F154" s="501">
        <v>9.2700000000000005E-2</v>
      </c>
      <c r="G154" s="500" t="e">
        <v>#N/A</v>
      </c>
      <c r="H154" s="500" t="e">
        <v>#N/A</v>
      </c>
      <c r="I154" s="502" t="e">
        <v>#N/A</v>
      </c>
      <c r="J154" s="4"/>
      <c r="K154" s="4"/>
      <c r="L154" s="4"/>
      <c r="M154" s="4"/>
      <c r="N154" s="4"/>
      <c r="O154" s="4"/>
      <c r="P154" s="4"/>
      <c r="Q154" s="4"/>
      <c r="R154" s="4"/>
      <c r="S154" s="4"/>
      <c r="T154" s="4"/>
      <c r="U154" s="4"/>
      <c r="V154" s="4"/>
      <c r="W154" s="4"/>
      <c r="X154" s="4"/>
      <c r="Y154" s="4"/>
      <c r="Z154" s="4"/>
    </row>
    <row r="155" spans="1:26" ht="15.75" customHeight="1">
      <c r="A155" s="493" t="s">
        <v>688</v>
      </c>
      <c r="B155" s="494" t="s">
        <v>514</v>
      </c>
      <c r="C155" s="495" t="s">
        <v>578</v>
      </c>
      <c r="D155" s="496">
        <v>0.1101</v>
      </c>
      <c r="E155" s="496">
        <v>0.21290000000000001</v>
      </c>
      <c r="F155" s="496">
        <v>0.17119999999999999</v>
      </c>
      <c r="G155" s="495" t="s">
        <v>516</v>
      </c>
      <c r="H155" s="495" t="s">
        <v>516</v>
      </c>
      <c r="I155" s="503" t="s">
        <v>516</v>
      </c>
      <c r="J155" s="4"/>
      <c r="K155" s="4"/>
      <c r="L155" s="4"/>
      <c r="M155" s="4"/>
      <c r="N155" s="4"/>
      <c r="O155" s="4"/>
      <c r="P155" s="4"/>
      <c r="Q155" s="4"/>
      <c r="R155" s="4"/>
      <c r="S155" s="4"/>
      <c r="T155" s="4"/>
      <c r="U155" s="4"/>
      <c r="V155" s="4"/>
      <c r="W155" s="4"/>
      <c r="X155" s="4"/>
      <c r="Y155" s="4"/>
      <c r="Z155" s="4"/>
    </row>
    <row r="156" spans="1:26" ht="15.75" customHeight="1">
      <c r="A156" s="498" t="s">
        <v>689</v>
      </c>
      <c r="B156" s="499" t="s">
        <v>511</v>
      </c>
      <c r="C156" s="500" t="s">
        <v>512</v>
      </c>
      <c r="D156" s="501">
        <v>4.4999999999999997E-3</v>
      </c>
      <c r="E156" s="501">
        <v>4.87E-2</v>
      </c>
      <c r="F156" s="501">
        <v>7.0000000000000001E-3</v>
      </c>
      <c r="G156" s="500" t="e">
        <v>#N/A</v>
      </c>
      <c r="H156" s="500" t="e">
        <v>#N/A</v>
      </c>
      <c r="I156" s="502" t="e">
        <v>#N/A</v>
      </c>
      <c r="J156" s="4"/>
      <c r="K156" s="4"/>
      <c r="L156" s="4"/>
      <c r="M156" s="4"/>
      <c r="N156" s="4"/>
      <c r="O156" s="4"/>
      <c r="P156" s="4"/>
      <c r="Q156" s="4"/>
      <c r="R156" s="4"/>
      <c r="S156" s="4"/>
      <c r="T156" s="4"/>
      <c r="U156" s="4"/>
      <c r="V156" s="4"/>
      <c r="W156" s="4"/>
      <c r="X156" s="4"/>
      <c r="Y156" s="4"/>
      <c r="Z156" s="4"/>
    </row>
    <row r="157" spans="1:26" ht="15.75" customHeight="1">
      <c r="A157" s="493" t="s">
        <v>690</v>
      </c>
      <c r="B157" s="494" t="s">
        <v>518</v>
      </c>
      <c r="C157" s="495" t="s">
        <v>563</v>
      </c>
      <c r="D157" s="496">
        <v>5.4999999999999997E-3</v>
      </c>
      <c r="E157" s="496">
        <v>5.0299999999999997E-2</v>
      </c>
      <c r="F157" s="496">
        <v>8.6E-3</v>
      </c>
      <c r="G157" s="496">
        <v>2.5000000000000001E-3</v>
      </c>
      <c r="H157" s="496">
        <v>4.5600000000000002E-2</v>
      </c>
      <c r="I157" s="497">
        <v>3.8999999999999998E-3</v>
      </c>
      <c r="J157" s="4"/>
      <c r="K157" s="4"/>
      <c r="L157" s="4"/>
      <c r="M157" s="4"/>
      <c r="N157" s="4"/>
      <c r="O157" s="4"/>
      <c r="P157" s="4"/>
      <c r="Q157" s="4"/>
      <c r="R157" s="4"/>
      <c r="S157" s="4"/>
      <c r="T157" s="4"/>
      <c r="U157" s="4"/>
      <c r="V157" s="4"/>
      <c r="W157" s="4"/>
      <c r="X157" s="4"/>
      <c r="Y157" s="4"/>
      <c r="Z157" s="4"/>
    </row>
    <row r="158" spans="1:26" ht="15.75" customHeight="1">
      <c r="A158" s="498" t="s">
        <v>691</v>
      </c>
      <c r="B158" s="499" t="s">
        <v>560</v>
      </c>
      <c r="C158" s="500" t="s">
        <v>533</v>
      </c>
      <c r="D158" s="501">
        <v>2.5000000000000001E-3</v>
      </c>
      <c r="E158" s="501">
        <v>4.4499999999999998E-2</v>
      </c>
      <c r="F158" s="501">
        <v>2.5000000000000001E-3</v>
      </c>
      <c r="G158" s="501">
        <v>4.3E-3</v>
      </c>
      <c r="H158" s="501">
        <v>4.8399999999999999E-2</v>
      </c>
      <c r="I158" s="504">
        <v>6.7000000000000002E-3</v>
      </c>
      <c r="J158" s="4"/>
      <c r="K158" s="4"/>
      <c r="L158" s="4"/>
      <c r="M158" s="4"/>
      <c r="N158" s="4"/>
      <c r="O158" s="4"/>
      <c r="P158" s="4"/>
      <c r="Q158" s="4"/>
      <c r="R158" s="4"/>
      <c r="S158" s="4"/>
      <c r="T158" s="4"/>
      <c r="U158" s="4"/>
      <c r="V158" s="4"/>
      <c r="W158" s="4"/>
      <c r="X158" s="4"/>
      <c r="Y158" s="4"/>
      <c r="Z158" s="4"/>
    </row>
    <row r="159" spans="1:26" ht="15.75" customHeight="1">
      <c r="A159" s="493" t="s">
        <v>692</v>
      </c>
      <c r="B159" s="494" t="s">
        <v>523</v>
      </c>
      <c r="C159" s="495" t="s">
        <v>519</v>
      </c>
      <c r="D159" s="496">
        <v>1.47E-2</v>
      </c>
      <c r="E159" s="496">
        <v>6.4500000000000002E-2</v>
      </c>
      <c r="F159" s="496">
        <v>2.2800000000000001E-2</v>
      </c>
      <c r="G159" s="496">
        <v>6.6E-3</v>
      </c>
      <c r="H159" s="511">
        <v>5.1999999999999998E-2</v>
      </c>
      <c r="I159" s="512">
        <v>1.03E-2</v>
      </c>
      <c r="J159" s="4"/>
      <c r="K159" s="4"/>
      <c r="L159" s="4"/>
      <c r="M159" s="4"/>
      <c r="N159" s="4"/>
      <c r="O159" s="4"/>
      <c r="P159" s="4"/>
      <c r="Q159" s="4"/>
      <c r="R159" s="4"/>
      <c r="S159" s="4"/>
      <c r="T159" s="4"/>
      <c r="U159" s="4"/>
      <c r="V159" s="4"/>
      <c r="W159" s="4"/>
      <c r="X159" s="4"/>
      <c r="Y159" s="4"/>
      <c r="Z159" s="4"/>
    </row>
    <row r="160" spans="1:26" ht="15.75" customHeight="1">
      <c r="A160" s="498" t="s">
        <v>693</v>
      </c>
      <c r="B160" s="499" t="s">
        <v>514</v>
      </c>
      <c r="C160" s="500" t="s">
        <v>515</v>
      </c>
      <c r="D160" s="501">
        <v>3.3000000000000002E-2</v>
      </c>
      <c r="E160" s="501">
        <v>9.2999999999999999E-2</v>
      </c>
      <c r="F160" s="501">
        <v>5.1299999999999998E-2</v>
      </c>
      <c r="G160" s="500" t="e">
        <v>#N/A</v>
      </c>
      <c r="H160" s="513" t="e">
        <v>#N/A</v>
      </c>
      <c r="I160" s="514" t="e">
        <v>#N/A</v>
      </c>
      <c r="J160" s="4"/>
      <c r="K160" s="4"/>
      <c r="L160" s="4"/>
      <c r="M160" s="4"/>
      <c r="N160" s="4"/>
      <c r="O160" s="4"/>
      <c r="P160" s="4"/>
      <c r="Q160" s="4"/>
      <c r="R160" s="4"/>
      <c r="S160" s="4"/>
      <c r="T160" s="4"/>
      <c r="U160" s="4"/>
      <c r="V160" s="4"/>
      <c r="W160" s="4"/>
      <c r="X160" s="4"/>
      <c r="Y160" s="4"/>
      <c r="Z160" s="4"/>
    </row>
    <row r="161" spans="1:26" ht="15.75" customHeight="1">
      <c r="A161" s="493" t="s">
        <v>694</v>
      </c>
      <c r="B161" s="494" t="s">
        <v>523</v>
      </c>
      <c r="C161" s="495" t="s">
        <v>550</v>
      </c>
      <c r="D161" s="496">
        <v>9.1800000000000007E-2</v>
      </c>
      <c r="E161" s="496">
        <v>0.18440000000000001</v>
      </c>
      <c r="F161" s="496">
        <v>0.14269999999999999</v>
      </c>
      <c r="G161" s="495" t="s">
        <v>516</v>
      </c>
      <c r="H161" s="515" t="s">
        <v>516</v>
      </c>
      <c r="I161" s="516" t="s">
        <v>516</v>
      </c>
      <c r="J161" s="4"/>
      <c r="K161" s="4"/>
      <c r="L161" s="4"/>
      <c r="M161" s="4"/>
      <c r="N161" s="4"/>
      <c r="O161" s="4"/>
      <c r="P161" s="4"/>
      <c r="Q161" s="4"/>
      <c r="R161" s="4"/>
      <c r="S161" s="4"/>
      <c r="T161" s="4"/>
      <c r="U161" s="4"/>
      <c r="V161" s="4"/>
      <c r="W161" s="4"/>
      <c r="X161" s="4"/>
      <c r="Y161" s="4"/>
      <c r="Z161" s="4"/>
    </row>
    <row r="162" spans="1:26" ht="15.75" customHeight="1">
      <c r="A162" s="498" t="s">
        <v>695</v>
      </c>
      <c r="B162" s="499" t="s">
        <v>539</v>
      </c>
      <c r="C162" s="500" t="s">
        <v>574</v>
      </c>
      <c r="D162" s="501">
        <v>2.76E-2</v>
      </c>
      <c r="E162" s="501">
        <v>8.4599999999999995E-2</v>
      </c>
      <c r="F162" s="501">
        <v>4.2900000000000001E-2</v>
      </c>
      <c r="G162" s="501">
        <v>1.26E-2</v>
      </c>
      <c r="H162" s="517">
        <v>6.13E-2</v>
      </c>
      <c r="I162" s="518">
        <v>1.9599999999999999E-2</v>
      </c>
      <c r="J162" s="4"/>
      <c r="K162" s="4"/>
      <c r="L162" s="4"/>
      <c r="M162" s="4"/>
      <c r="N162" s="4"/>
      <c r="O162" s="4"/>
      <c r="P162" s="4"/>
      <c r="Q162" s="4"/>
      <c r="R162" s="4"/>
      <c r="S162" s="4"/>
      <c r="T162" s="4"/>
      <c r="U162" s="4"/>
      <c r="V162" s="4"/>
      <c r="W162" s="4"/>
      <c r="X162" s="4"/>
      <c r="Y162" s="4"/>
      <c r="Z162" s="4"/>
    </row>
    <row r="163" spans="1:26" ht="15.75" customHeight="1">
      <c r="A163" s="493" t="s">
        <v>696</v>
      </c>
      <c r="B163" s="494" t="s">
        <v>503</v>
      </c>
      <c r="C163" s="495" t="s">
        <v>570</v>
      </c>
      <c r="D163" s="496">
        <v>8.2600000000000007E-2</v>
      </c>
      <c r="E163" s="496">
        <v>0.1701</v>
      </c>
      <c r="F163" s="496">
        <v>0.12839999999999999</v>
      </c>
      <c r="G163" s="496">
        <v>2.9000000000000001E-2</v>
      </c>
      <c r="H163" s="511">
        <v>8.6800000000000002E-2</v>
      </c>
      <c r="I163" s="512">
        <v>4.5100000000000001E-2</v>
      </c>
      <c r="J163" s="4"/>
      <c r="K163" s="4"/>
      <c r="L163" s="4"/>
      <c r="M163" s="4"/>
      <c r="N163" s="4"/>
      <c r="O163" s="4"/>
      <c r="P163" s="4"/>
      <c r="Q163" s="4"/>
      <c r="R163" s="4"/>
      <c r="S163" s="4"/>
      <c r="T163" s="4"/>
      <c r="U163" s="4"/>
      <c r="V163" s="4"/>
      <c r="W163" s="4"/>
      <c r="X163" s="4"/>
      <c r="Y163" s="4"/>
      <c r="Z163" s="4"/>
    </row>
    <row r="164" spans="1:26"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hyperlinks>
    <hyperlink ref="B1" r:id="rId1" xr:uid="{00000000-0004-0000-0900-000000000000}"/>
  </hyperlinks>
  <pageMargins left="0.7" right="0.7" top="0.75" bottom="0.75" header="0" footer="0"/>
  <pageSetup orientation="landscape"/>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1000"/>
  <sheetViews>
    <sheetView showGridLines="0" workbookViewId="0"/>
  </sheetViews>
  <sheetFormatPr defaultColWidth="10.1796875" defaultRowHeight="15" customHeight="1"/>
  <cols>
    <col min="1" max="1" width="3.7265625" customWidth="1"/>
    <col min="2" max="2" width="33.1796875" customWidth="1"/>
  </cols>
  <sheetData>
    <row r="1" spans="1:26" ht="15" customHeight="1">
      <c r="A1" s="31"/>
      <c r="B1" s="31"/>
      <c r="C1" s="648" t="s">
        <v>697</v>
      </c>
      <c r="D1" s="648" t="s">
        <v>698</v>
      </c>
      <c r="E1" s="647" t="s">
        <v>699</v>
      </c>
      <c r="F1" s="647" t="s">
        <v>700</v>
      </c>
      <c r="G1" s="7"/>
      <c r="H1" s="7"/>
      <c r="I1" s="4"/>
      <c r="J1" s="4"/>
      <c r="K1" s="7"/>
      <c r="L1" s="7"/>
      <c r="M1" s="7"/>
      <c r="N1" s="7"/>
      <c r="O1" s="7"/>
      <c r="P1" s="7"/>
      <c r="Q1" s="7"/>
      <c r="R1" s="7"/>
      <c r="S1" s="7"/>
      <c r="T1" s="7"/>
      <c r="U1" s="4"/>
      <c r="V1" s="4"/>
      <c r="W1" s="4"/>
      <c r="X1" s="4"/>
      <c r="Y1" s="4"/>
      <c r="Z1" s="4"/>
    </row>
    <row r="2" spans="1:26">
      <c r="A2" s="134"/>
      <c r="B2" s="34" t="s">
        <v>701</v>
      </c>
      <c r="C2" s="649"/>
      <c r="D2" s="649"/>
      <c r="E2" s="574"/>
      <c r="F2" s="574"/>
      <c r="G2" s="7"/>
      <c r="H2" s="7"/>
      <c r="I2" s="4"/>
      <c r="J2" s="4"/>
      <c r="K2" s="7"/>
      <c r="L2" s="7"/>
      <c r="M2" s="7"/>
      <c r="N2" s="7"/>
      <c r="O2" s="7"/>
      <c r="P2" s="7"/>
      <c r="Q2" s="7"/>
      <c r="R2" s="7"/>
      <c r="S2" s="7"/>
      <c r="T2" s="7"/>
      <c r="U2" s="4"/>
      <c r="V2" s="4"/>
      <c r="W2" s="4"/>
      <c r="X2" s="4"/>
      <c r="Y2" s="4"/>
      <c r="Z2" s="4"/>
    </row>
    <row r="3" spans="1:26" ht="15" customHeight="1">
      <c r="A3" s="7"/>
      <c r="B3" s="7"/>
      <c r="C3" s="30"/>
      <c r="D3" s="30"/>
      <c r="E3" s="30"/>
      <c r="F3" s="7"/>
      <c r="G3" s="7"/>
      <c r="H3" s="7"/>
      <c r="I3" s="4"/>
      <c r="J3" s="4"/>
      <c r="K3" s="7"/>
      <c r="L3" s="7"/>
      <c r="M3" s="7"/>
      <c r="N3" s="7"/>
      <c r="O3" s="7"/>
      <c r="P3" s="7"/>
      <c r="Q3" s="7"/>
      <c r="R3" s="7"/>
      <c r="S3" s="7"/>
      <c r="T3" s="7"/>
      <c r="U3" s="4"/>
      <c r="V3" s="4"/>
      <c r="W3" s="4"/>
      <c r="X3" s="4"/>
      <c r="Y3" s="4"/>
      <c r="Z3" s="4"/>
    </row>
    <row r="4" spans="1:26" ht="15" customHeight="1">
      <c r="A4" s="7"/>
      <c r="B4" s="45" t="s">
        <v>702</v>
      </c>
      <c r="C4" s="519">
        <f>DCF!C58</f>
        <v>3.78</v>
      </c>
      <c r="D4" s="519">
        <f t="shared" ref="D4:D7" si="0">C4</f>
        <v>3.78</v>
      </c>
      <c r="E4" s="519">
        <f ca="1">DCF!D134</f>
        <v>8.4305301515197062</v>
      </c>
      <c r="F4" s="519">
        <f>DCF!E134</f>
        <v>12.32349606121182</v>
      </c>
      <c r="G4" s="7"/>
      <c r="H4" s="7"/>
      <c r="I4" s="4"/>
      <c r="J4" s="4"/>
      <c r="K4" s="7"/>
      <c r="L4" s="7"/>
      <c r="M4" s="7"/>
      <c r="N4" s="7"/>
      <c r="O4" s="7"/>
      <c r="P4" s="7"/>
      <c r="Q4" s="7"/>
      <c r="R4" s="7"/>
      <c r="S4" s="7"/>
      <c r="T4" s="7"/>
      <c r="U4" s="4"/>
      <c r="V4" s="4"/>
      <c r="W4" s="4"/>
      <c r="X4" s="4"/>
      <c r="Y4" s="4"/>
      <c r="Z4" s="4"/>
    </row>
    <row r="5" spans="1:26" ht="15" customHeight="1">
      <c r="A5" s="7"/>
      <c r="B5" s="16" t="s">
        <v>703</v>
      </c>
      <c r="C5" s="20">
        <f>DCF!C59</f>
        <v>43401.239000000001</v>
      </c>
      <c r="D5" s="20">
        <f t="shared" si="0"/>
        <v>43401.239000000001</v>
      </c>
      <c r="E5" s="118">
        <f>DCF!D132</f>
        <v>43401.239000000001</v>
      </c>
      <c r="F5" s="118">
        <f>DCF!E132</f>
        <v>43401.239000000001</v>
      </c>
      <c r="G5" s="4"/>
      <c r="H5" s="7"/>
      <c r="I5" s="4"/>
      <c r="J5" s="4"/>
      <c r="K5" s="7"/>
      <c r="L5" s="7"/>
      <c r="M5" s="7"/>
      <c r="N5" s="7"/>
      <c r="O5" s="7"/>
      <c r="P5" s="7"/>
      <c r="Q5" s="7"/>
      <c r="R5" s="7"/>
      <c r="S5" s="7"/>
      <c r="T5" s="7"/>
      <c r="U5" s="4"/>
      <c r="V5" s="4"/>
      <c r="W5" s="4"/>
      <c r="X5" s="4"/>
      <c r="Y5" s="4"/>
      <c r="Z5" s="4"/>
    </row>
    <row r="6" spans="1:26" ht="15" customHeight="1">
      <c r="A6" s="7"/>
      <c r="B6" s="16" t="s">
        <v>704</v>
      </c>
      <c r="C6" s="20">
        <f>C5*C4</f>
        <v>164056.68341999999</v>
      </c>
      <c r="D6" s="20">
        <f t="shared" si="0"/>
        <v>164056.68341999999</v>
      </c>
      <c r="E6" s="118">
        <f ca="1">DCF!D131</f>
        <v>365895.45400281297</v>
      </c>
      <c r="F6" s="118">
        <f>DCF!E131</f>
        <v>534854.99786821287</v>
      </c>
      <c r="G6" s="4"/>
      <c r="H6" s="7"/>
      <c r="I6" s="4"/>
      <c r="J6" s="4"/>
      <c r="K6" s="7"/>
      <c r="L6" s="7"/>
      <c r="M6" s="7"/>
      <c r="N6" s="7"/>
      <c r="O6" s="7"/>
      <c r="P6" s="7"/>
      <c r="Q6" s="7"/>
      <c r="R6" s="7"/>
      <c r="S6" s="7"/>
      <c r="T6" s="7"/>
      <c r="U6" s="4"/>
      <c r="V6" s="4"/>
      <c r="W6" s="4"/>
      <c r="X6" s="4"/>
      <c r="Y6" s="4"/>
      <c r="Z6" s="4"/>
    </row>
    <row r="7" spans="1:26" ht="15" customHeight="1">
      <c r="A7" s="7"/>
      <c r="B7" s="16" t="s">
        <v>15</v>
      </c>
      <c r="C7" s="20">
        <f>C6+(-DCF!D88)-DCF!D94</f>
        <v>552975.73342000006</v>
      </c>
      <c r="D7" s="20">
        <f t="shared" si="0"/>
        <v>552975.73342000006</v>
      </c>
      <c r="E7" s="118">
        <f ca="1">DCF!D126</f>
        <v>754814.50400281302</v>
      </c>
      <c r="F7" s="118">
        <f>DCF!E126</f>
        <v>923774.04786821292</v>
      </c>
      <c r="G7" s="4"/>
      <c r="H7" s="7"/>
      <c r="I7" s="4"/>
      <c r="J7" s="4"/>
      <c r="K7" s="7"/>
      <c r="L7" s="7"/>
      <c r="M7" s="7"/>
      <c r="N7" s="7"/>
      <c r="O7" s="7"/>
      <c r="P7" s="7"/>
      <c r="Q7" s="7"/>
      <c r="R7" s="7"/>
      <c r="S7" s="7"/>
      <c r="T7" s="7"/>
      <c r="U7" s="4"/>
      <c r="V7" s="4"/>
      <c r="W7" s="4"/>
      <c r="X7" s="4"/>
      <c r="Y7" s="4"/>
      <c r="Z7" s="4"/>
    </row>
    <row r="8" spans="1:26">
      <c r="A8" s="7"/>
      <c r="B8" s="7"/>
      <c r="C8" s="30"/>
      <c r="D8" s="30"/>
      <c r="E8" s="7"/>
      <c r="F8" s="7"/>
      <c r="G8" s="7"/>
      <c r="H8" s="7"/>
      <c r="I8" s="4"/>
      <c r="J8" s="4"/>
      <c r="K8" s="7"/>
      <c r="L8" s="7"/>
      <c r="M8" s="7"/>
      <c r="N8" s="7"/>
      <c r="O8" s="7"/>
      <c r="P8" s="7"/>
      <c r="Q8" s="7"/>
      <c r="R8" s="7"/>
      <c r="S8" s="7"/>
      <c r="T8" s="7"/>
      <c r="U8" s="4"/>
      <c r="V8" s="4"/>
      <c r="W8" s="4"/>
      <c r="X8" s="4"/>
      <c r="Y8" s="4"/>
      <c r="Z8" s="4"/>
    </row>
    <row r="9" spans="1:26">
      <c r="A9" s="7"/>
      <c r="B9" s="14" t="s">
        <v>705</v>
      </c>
      <c r="C9" s="30"/>
      <c r="D9" s="30"/>
      <c r="E9" s="7"/>
      <c r="F9" s="7"/>
      <c r="G9" s="7"/>
      <c r="H9" s="7"/>
      <c r="I9" s="4"/>
      <c r="J9" s="4"/>
      <c r="K9" s="7"/>
      <c r="L9" s="7"/>
      <c r="M9" s="7"/>
      <c r="N9" s="7"/>
      <c r="O9" s="7"/>
      <c r="P9" s="7"/>
      <c r="Q9" s="7"/>
      <c r="R9" s="7"/>
      <c r="S9" s="7"/>
      <c r="T9" s="7"/>
      <c r="U9" s="4"/>
      <c r="V9" s="4"/>
      <c r="W9" s="4"/>
      <c r="X9" s="4"/>
      <c r="Y9" s="4"/>
      <c r="Z9" s="4"/>
    </row>
    <row r="10" spans="1:26">
      <c r="A10" s="7"/>
      <c r="B10" s="7" t="s">
        <v>706</v>
      </c>
      <c r="C10" s="28">
        <f>C4/'Income Statement'!H53</f>
        <v>-36.833751817757474</v>
      </c>
      <c r="D10" s="28">
        <f>D4/'Income Statement'!I53</f>
        <v>39.19722529794582</v>
      </c>
      <c r="E10" s="520">
        <f ca="1">E4/'Income Statement'!$H$53</f>
        <v>-82.150279178094763</v>
      </c>
      <c r="F10" s="520">
        <f>F4/'Income Statement'!$H$53</f>
        <v>-120.08481360999683</v>
      </c>
      <c r="G10" s="7"/>
      <c r="H10" s="7"/>
      <c r="I10" s="4"/>
      <c r="J10" s="4"/>
      <c r="K10" s="7"/>
      <c r="L10" s="7"/>
      <c r="M10" s="7"/>
      <c r="N10" s="7"/>
      <c r="O10" s="7"/>
      <c r="P10" s="7"/>
      <c r="Q10" s="7"/>
      <c r="R10" s="7"/>
      <c r="S10" s="7"/>
      <c r="T10" s="7"/>
      <c r="U10" s="4"/>
      <c r="V10" s="4"/>
      <c r="W10" s="4"/>
      <c r="X10" s="4"/>
      <c r="Y10" s="4"/>
      <c r="Z10" s="4"/>
    </row>
    <row r="11" spans="1:26">
      <c r="A11" s="7"/>
      <c r="B11" s="7" t="s">
        <v>707</v>
      </c>
      <c r="C11" s="28">
        <f>C7/'Income Statement'!H33</f>
        <v>6.2186313176953893</v>
      </c>
      <c r="D11" s="28">
        <f>D7/'Income Statement'!I33</f>
        <v>5.7628766415388526</v>
      </c>
      <c r="E11" s="520">
        <f ca="1">E7/'Income Statement'!$H$33</f>
        <v>8.4884613012076802</v>
      </c>
      <c r="F11" s="520">
        <f>F7/'Income Statement'!$H$33</f>
        <v>10.388539455463448</v>
      </c>
      <c r="G11" s="7"/>
      <c r="H11" s="7"/>
      <c r="I11" s="4"/>
      <c r="J11" s="4"/>
      <c r="K11" s="7"/>
      <c r="L11" s="7"/>
      <c r="M11" s="7"/>
      <c r="N11" s="7"/>
      <c r="O11" s="7"/>
      <c r="P11" s="7"/>
      <c r="Q11" s="7"/>
      <c r="R11" s="7"/>
      <c r="S11" s="7"/>
      <c r="T11" s="7"/>
      <c r="U11" s="4"/>
      <c r="V11" s="4"/>
      <c r="W11" s="4"/>
      <c r="X11" s="4"/>
      <c r="Y11" s="4"/>
      <c r="Z11" s="4"/>
    </row>
    <row r="12" spans="1:26">
      <c r="A12" s="7"/>
      <c r="B12" s="7" t="s">
        <v>708</v>
      </c>
      <c r="C12" s="28">
        <f>C6/'Balance Sheet'!H54</f>
        <v>8.6521749257686267</v>
      </c>
      <c r="D12" s="28">
        <f>D6/'Balance Sheet'!I54</f>
        <v>15.227593071336193</v>
      </c>
      <c r="E12" s="520">
        <f ca="1">E6/'Balance Sheet'!$H$54</f>
        <v>19.296936928019889</v>
      </c>
      <c r="F12" s="520">
        <f>F6/'Balance Sheet'!$H$54</f>
        <v>28.207683496990835</v>
      </c>
      <c r="G12" s="7"/>
      <c r="H12" s="7"/>
      <c r="I12" s="4"/>
      <c r="J12" s="4"/>
      <c r="K12" s="7"/>
      <c r="L12" s="7"/>
      <c r="M12" s="7"/>
      <c r="N12" s="7"/>
      <c r="O12" s="7"/>
      <c r="P12" s="7"/>
      <c r="Q12" s="7"/>
      <c r="R12" s="7"/>
      <c r="S12" s="7"/>
      <c r="T12" s="7"/>
      <c r="U12" s="4"/>
      <c r="V12" s="4"/>
      <c r="W12" s="4"/>
      <c r="X12" s="4"/>
      <c r="Y12" s="4"/>
      <c r="Z12" s="4"/>
    </row>
    <row r="13" spans="1:26">
      <c r="A13" s="7"/>
      <c r="B13" s="7" t="s">
        <v>709</v>
      </c>
      <c r="C13" s="84">
        <f>SUM('Cash Flow'!H32,'Cash Flow'!H40)/Metrics!C6</f>
        <v>0.2553923322510136</v>
      </c>
      <c r="D13" s="84">
        <f>SUM('Cash Flow'!I32,'Cash Flow'!I40)/Metrics!D6</f>
        <v>0.37772783238360214</v>
      </c>
      <c r="E13" s="86">
        <f ca="1">SUM('Cash Flow'!$H$32,'Cash Flow'!$H$40)/E6</f>
        <v>0.11451035682907904</v>
      </c>
      <c r="F13" s="86">
        <f>SUM('Cash Flow'!$H$32,'Cash Flow'!$H$40)/F6</f>
        <v>7.8336781308947903E-2</v>
      </c>
      <c r="G13" s="7"/>
      <c r="H13" s="7"/>
      <c r="I13" s="4"/>
      <c r="J13" s="4"/>
      <c r="K13" s="7"/>
      <c r="L13" s="7"/>
      <c r="M13" s="7"/>
      <c r="N13" s="7"/>
      <c r="O13" s="7"/>
      <c r="P13" s="7"/>
      <c r="Q13" s="7"/>
      <c r="R13" s="7"/>
      <c r="S13" s="7"/>
      <c r="T13" s="7"/>
      <c r="U13" s="4"/>
      <c r="V13" s="4"/>
      <c r="W13" s="4"/>
      <c r="X13" s="4"/>
      <c r="Y13" s="4"/>
      <c r="Z13" s="4"/>
    </row>
    <row r="14" spans="1:26">
      <c r="A14" s="7"/>
      <c r="B14" s="7" t="s">
        <v>710</v>
      </c>
      <c r="C14" s="84">
        <f>'Income Statement'!H58/Metrics!C4</f>
        <v>4.214396424374578E-2</v>
      </c>
      <c r="D14" s="84">
        <f>'Income Statement'!I58/Metrics!D4</f>
        <v>8.5336358800809906E-2</v>
      </c>
      <c r="E14" s="86">
        <f ca="1">'Income Statement'!$H$58/E4</f>
        <v>1.8896105224490835E-2</v>
      </c>
      <c r="F14" s="86">
        <f>'Income Statement'!$H$58/F4</f>
        <v>1.2926866211510275E-2</v>
      </c>
      <c r="G14" s="7"/>
      <c r="H14" s="7"/>
      <c r="I14" s="4"/>
      <c r="J14" s="4"/>
      <c r="K14" s="7"/>
      <c r="L14" s="7"/>
      <c r="M14" s="7"/>
      <c r="N14" s="7"/>
      <c r="O14" s="7"/>
      <c r="P14" s="7"/>
      <c r="Q14" s="7"/>
      <c r="R14" s="7"/>
      <c r="S14" s="7"/>
      <c r="T14" s="7"/>
      <c r="U14" s="4"/>
      <c r="V14" s="4"/>
      <c r="W14" s="4"/>
      <c r="X14" s="4"/>
      <c r="Y14" s="4"/>
      <c r="Z14" s="4"/>
    </row>
    <row r="15" spans="1:26">
      <c r="A15" s="7"/>
      <c r="B15" s="7"/>
      <c r="C15" s="7"/>
      <c r="D15" s="7"/>
      <c r="E15" s="30"/>
      <c r="F15" s="7"/>
      <c r="G15" s="7"/>
      <c r="H15" s="7"/>
      <c r="I15" s="7"/>
      <c r="J15" s="4"/>
      <c r="K15" s="7"/>
      <c r="L15" s="7"/>
      <c r="M15" s="7"/>
      <c r="N15" s="7"/>
      <c r="O15" s="7"/>
      <c r="P15" s="7"/>
      <c r="Q15" s="7"/>
      <c r="R15" s="7"/>
      <c r="S15" s="7"/>
      <c r="T15" s="7"/>
      <c r="U15" s="4"/>
      <c r="V15" s="4"/>
      <c r="W15" s="4"/>
      <c r="X15" s="4"/>
      <c r="Y15" s="4"/>
      <c r="Z15" s="4"/>
    </row>
    <row r="16" spans="1:26">
      <c r="A16" s="7"/>
      <c r="B16" s="7" t="s">
        <v>711</v>
      </c>
      <c r="C16" s="84">
        <f>'Income Statement'!H11</f>
        <v>0.89667277382249011</v>
      </c>
      <c r="D16" s="84">
        <f>'Income Statement'!I11</f>
        <v>0.89500000000000002</v>
      </c>
      <c r="E16" s="7"/>
      <c r="F16" s="30"/>
      <c r="G16" s="7"/>
      <c r="H16" s="7"/>
      <c r="I16" s="7"/>
      <c r="J16" s="7"/>
      <c r="K16" s="7"/>
      <c r="L16" s="7"/>
      <c r="M16" s="7"/>
      <c r="N16" s="7"/>
      <c r="O16" s="7"/>
      <c r="P16" s="7"/>
      <c r="Q16" s="7"/>
      <c r="R16" s="7"/>
      <c r="S16" s="7"/>
      <c r="T16" s="7"/>
      <c r="U16" s="4"/>
      <c r="V16" s="4"/>
      <c r="W16" s="4"/>
      <c r="X16" s="4"/>
      <c r="Y16" s="4"/>
      <c r="Z16" s="4"/>
    </row>
    <row r="17" spans="1:26">
      <c r="A17" s="7"/>
      <c r="B17" s="7" t="s">
        <v>712</v>
      </c>
      <c r="C17" s="84">
        <f>'Income Statement'!H34</f>
        <v>0.36718508098707009</v>
      </c>
      <c r="D17" s="84">
        <f>'Income Statement'!I34</f>
        <v>0.38738602089981933</v>
      </c>
      <c r="E17" s="7"/>
      <c r="F17" s="30"/>
      <c r="G17" s="7"/>
      <c r="H17" s="7"/>
      <c r="I17" s="7"/>
      <c r="J17" s="7"/>
      <c r="K17" s="7"/>
      <c r="L17" s="7"/>
      <c r="M17" s="7"/>
      <c r="N17" s="7"/>
      <c r="O17" s="7"/>
      <c r="P17" s="7"/>
      <c r="Q17" s="7"/>
      <c r="R17" s="7"/>
      <c r="S17" s="7"/>
      <c r="T17" s="7"/>
      <c r="U17" s="4"/>
      <c r="V17" s="4"/>
      <c r="W17" s="4"/>
      <c r="X17" s="4"/>
      <c r="Y17" s="4"/>
      <c r="Z17" s="4"/>
    </row>
    <row r="18" spans="1:26">
      <c r="A18" s="7"/>
      <c r="B18" s="7" t="s">
        <v>713</v>
      </c>
      <c r="C18" s="84">
        <f>'Income Statement'!H32</f>
        <v>9.0817324538358224E-2</v>
      </c>
      <c r="D18" s="84">
        <f>'Income Statement'!I32</f>
        <v>0.12267087311731015</v>
      </c>
      <c r="E18" s="7"/>
      <c r="F18" s="30"/>
      <c r="G18" s="7"/>
      <c r="H18" s="7"/>
      <c r="I18" s="7"/>
      <c r="J18" s="7"/>
      <c r="K18" s="7"/>
      <c r="L18" s="7"/>
      <c r="M18" s="7"/>
      <c r="N18" s="7"/>
      <c r="O18" s="7"/>
      <c r="P18" s="7"/>
      <c r="Q18" s="7"/>
      <c r="R18" s="7"/>
      <c r="S18" s="7"/>
      <c r="T18" s="7"/>
      <c r="U18" s="4"/>
      <c r="V18" s="4"/>
      <c r="W18" s="4"/>
      <c r="X18" s="4"/>
      <c r="Y18" s="4"/>
      <c r="Z18" s="4"/>
    </row>
    <row r="19" spans="1:26">
      <c r="A19" s="7"/>
      <c r="B19" s="7" t="s">
        <v>714</v>
      </c>
      <c r="C19" s="84">
        <f>'Income Statement'!H42</f>
        <v>-2.785725082882503E-2</v>
      </c>
      <c r="D19" s="84">
        <f>'Income Statement'!I42</f>
        <v>2.3464622288324469E-2</v>
      </c>
      <c r="E19" s="7"/>
      <c r="F19" s="30"/>
      <c r="G19" s="7"/>
      <c r="H19" s="7"/>
      <c r="I19" s="7"/>
      <c r="J19" s="7"/>
      <c r="K19" s="7"/>
      <c r="L19" s="7"/>
      <c r="M19" s="7"/>
      <c r="N19" s="7"/>
      <c r="O19" s="7"/>
      <c r="P19" s="7"/>
      <c r="Q19" s="7"/>
      <c r="R19" s="7"/>
      <c r="S19" s="7"/>
      <c r="T19" s="7"/>
      <c r="U19" s="4"/>
      <c r="V19" s="4"/>
      <c r="W19" s="4"/>
      <c r="X19" s="4"/>
      <c r="Y19" s="4"/>
      <c r="Z19" s="4"/>
    </row>
    <row r="20" spans="1:26">
      <c r="A20" s="7"/>
      <c r="B20" s="7" t="s">
        <v>715</v>
      </c>
      <c r="C20" s="84">
        <f>'Income Statement'!H46/'Balance Sheet'!H54</f>
        <v>-0.23489800790799245</v>
      </c>
      <c r="D20" s="84">
        <f>'Income Statement'!I46/'Balance Sheet'!I54</f>
        <v>0.38848650524592654</v>
      </c>
      <c r="E20" s="7"/>
      <c r="F20" s="30"/>
      <c r="G20" s="7"/>
      <c r="H20" s="7"/>
      <c r="I20" s="7"/>
      <c r="J20" s="7"/>
      <c r="K20" s="7"/>
      <c r="L20" s="7"/>
      <c r="M20" s="7"/>
      <c r="N20" s="7"/>
      <c r="O20" s="7"/>
      <c r="P20" s="7"/>
      <c r="Q20" s="7"/>
      <c r="R20" s="7"/>
      <c r="S20" s="7"/>
      <c r="T20" s="7"/>
      <c r="U20" s="4"/>
      <c r="V20" s="4"/>
      <c r="W20" s="4"/>
      <c r="X20" s="4"/>
      <c r="Y20" s="4"/>
      <c r="Z20" s="4"/>
    </row>
    <row r="21" spans="1:26" ht="15.75" customHeight="1">
      <c r="A21" s="7"/>
      <c r="B21" s="7" t="s">
        <v>716</v>
      </c>
      <c r="C21" s="84">
        <f>'Income Statement'!H46/'Balance Sheet'!H24</f>
        <v>-8.6194775327997197E-3</v>
      </c>
      <c r="D21" s="84">
        <f>'Income Statement'!I46/'Balance Sheet'!I24</f>
        <v>8.9310684658061631E-3</v>
      </c>
      <c r="E21" s="7"/>
      <c r="F21" s="30"/>
      <c r="G21" s="7"/>
      <c r="H21" s="7"/>
      <c r="I21" s="7"/>
      <c r="J21" s="7"/>
      <c r="K21" s="7"/>
      <c r="L21" s="7"/>
      <c r="M21" s="7"/>
      <c r="N21" s="7"/>
      <c r="O21" s="7"/>
      <c r="P21" s="7"/>
      <c r="Q21" s="7"/>
      <c r="R21" s="7"/>
      <c r="S21" s="7"/>
      <c r="T21" s="7"/>
      <c r="U21" s="4"/>
      <c r="V21" s="4"/>
      <c r="W21" s="4"/>
      <c r="X21" s="4"/>
      <c r="Y21" s="4"/>
      <c r="Z21" s="4"/>
    </row>
    <row r="22" spans="1:26" ht="15.75" customHeight="1">
      <c r="A22" s="7"/>
      <c r="B22" s="7" t="s">
        <v>717</v>
      </c>
      <c r="C22" s="84">
        <f t="shared" ref="C22:E22" si="1">C23/SUM(C24:C26)</f>
        <v>6.6234444902412926E-2</v>
      </c>
      <c r="D22" s="84">
        <f t="shared" si="1"/>
        <v>0.10012543856200057</v>
      </c>
      <c r="E22" s="650">
        <f t="shared" si="1"/>
        <v>0.26398572102027335</v>
      </c>
      <c r="F22" s="578"/>
      <c r="G22" s="7"/>
      <c r="H22" s="7"/>
      <c r="I22" s="7"/>
      <c r="J22" s="7"/>
      <c r="K22" s="7"/>
      <c r="L22" s="7"/>
      <c r="M22" s="7"/>
      <c r="N22" s="7"/>
      <c r="O22" s="7"/>
      <c r="P22" s="7"/>
      <c r="Q22" s="7"/>
      <c r="R22" s="7"/>
      <c r="S22" s="7"/>
      <c r="T22" s="7"/>
      <c r="U22" s="4"/>
      <c r="V22" s="4"/>
      <c r="W22" s="4"/>
      <c r="X22" s="4"/>
      <c r="Y22" s="4"/>
      <c r="Z22" s="4"/>
    </row>
    <row r="23" spans="1:26" ht="15.75" customHeight="1">
      <c r="A23" s="7"/>
      <c r="B23" s="521" t="s">
        <v>718</v>
      </c>
      <c r="C23" s="522">
        <f>'Income Statement'!H31*(1-0%)</f>
        <v>21993.52999999997</v>
      </c>
      <c r="D23" s="522">
        <f>'Income Statement'!I31*(1-0%)</f>
        <v>30385.351283485186</v>
      </c>
      <c r="E23" s="646">
        <f>'Income Statement'!M31*(1-0%)</f>
        <v>76336.305700382305</v>
      </c>
      <c r="F23" s="578"/>
      <c r="G23" s="522"/>
      <c r="H23" s="4"/>
      <c r="I23" s="522"/>
      <c r="J23" s="522"/>
      <c r="K23" s="522"/>
      <c r="L23" s="7"/>
      <c r="M23" s="7"/>
      <c r="N23" s="7"/>
      <c r="O23" s="7"/>
      <c r="P23" s="7"/>
      <c r="Q23" s="7"/>
      <c r="R23" s="7"/>
      <c r="S23" s="7"/>
      <c r="T23" s="7"/>
      <c r="U23" s="4"/>
      <c r="V23" s="4"/>
      <c r="W23" s="4"/>
      <c r="X23" s="4"/>
      <c r="Y23" s="4"/>
      <c r="Z23" s="4"/>
    </row>
    <row r="24" spans="1:26" ht="15.75" customHeight="1">
      <c r="A24" s="7"/>
      <c r="B24" s="521" t="s">
        <v>719</v>
      </c>
      <c r="C24" s="522">
        <f>'Balance Sheet'!H18</f>
        <v>308491.35200000001</v>
      </c>
      <c r="D24" s="522">
        <f>'Balance Sheet'!I18</f>
        <v>285334.20281463489</v>
      </c>
      <c r="E24" s="646">
        <f>'Balance Sheet'!M18</f>
        <v>273390.90048395557</v>
      </c>
      <c r="F24" s="578"/>
      <c r="G24" s="522"/>
      <c r="H24" s="4"/>
      <c r="I24" s="522"/>
      <c r="J24" s="522"/>
      <c r="K24" s="522"/>
      <c r="L24" s="7"/>
      <c r="M24" s="7"/>
      <c r="N24" s="7"/>
      <c r="O24" s="7"/>
      <c r="P24" s="7"/>
      <c r="Q24" s="7"/>
      <c r="R24" s="7"/>
      <c r="S24" s="7"/>
      <c r="T24" s="7"/>
      <c r="U24" s="4"/>
      <c r="V24" s="4"/>
      <c r="W24" s="4"/>
      <c r="X24" s="4"/>
      <c r="Y24" s="4"/>
      <c r="Z24" s="4"/>
    </row>
    <row r="25" spans="1:26" ht="15.75" customHeight="1">
      <c r="A25" s="7"/>
      <c r="B25" s="521" t="s">
        <v>720</v>
      </c>
      <c r="C25" s="522">
        <f>'Balance Assumptions'!H33</f>
        <v>-15108.112999999998</v>
      </c>
      <c r="D25" s="522">
        <f>'Balance Assumptions'!I33</f>
        <v>-15799.822747429156</v>
      </c>
      <c r="E25" s="646">
        <f>'Balance Assumptions'!M33</f>
        <v>-6980.3710607171452</v>
      </c>
      <c r="F25" s="578"/>
      <c r="G25" s="522"/>
      <c r="H25" s="4"/>
      <c r="I25" s="522"/>
      <c r="J25" s="522"/>
      <c r="K25" s="522"/>
      <c r="L25" s="7"/>
      <c r="M25" s="7"/>
      <c r="N25" s="7"/>
      <c r="O25" s="7"/>
      <c r="P25" s="7"/>
      <c r="Q25" s="7"/>
      <c r="R25" s="7"/>
      <c r="S25" s="7"/>
      <c r="T25" s="7"/>
      <c r="U25" s="4"/>
      <c r="V25" s="4"/>
      <c r="W25" s="4"/>
      <c r="X25" s="4"/>
      <c r="Y25" s="4"/>
      <c r="Z25" s="4"/>
    </row>
    <row r="26" spans="1:26" ht="15.75" customHeight="1">
      <c r="A26" s="7"/>
      <c r="B26" s="521" t="s">
        <v>721</v>
      </c>
      <c r="C26" s="522">
        <f>'Balance Sheet'!H19</f>
        <v>38672.536999999997</v>
      </c>
      <c r="D26" s="522">
        <f>'Balance Sheet'!I19</f>
        <v>33938.460800000001</v>
      </c>
      <c r="E26" s="646">
        <f>'Balance Sheet'!M19</f>
        <v>22757.783943680006</v>
      </c>
      <c r="F26" s="578"/>
      <c r="G26" s="522"/>
      <c r="H26" s="4"/>
      <c r="I26" s="522"/>
      <c r="J26" s="522"/>
      <c r="K26" s="522"/>
      <c r="L26" s="7"/>
      <c r="M26" s="7"/>
      <c r="N26" s="7"/>
      <c r="O26" s="7"/>
      <c r="P26" s="7"/>
      <c r="Q26" s="7"/>
      <c r="R26" s="7"/>
      <c r="S26" s="7"/>
      <c r="T26" s="7"/>
      <c r="U26" s="4"/>
      <c r="V26" s="4"/>
      <c r="W26" s="4"/>
      <c r="X26" s="4"/>
      <c r="Y26" s="4"/>
      <c r="Z26" s="4"/>
    </row>
    <row r="27" spans="1:26" ht="15.75" customHeight="1">
      <c r="A27" s="7"/>
      <c r="B27" s="7"/>
      <c r="C27" s="84"/>
      <c r="D27" s="84"/>
      <c r="E27" s="7"/>
      <c r="F27" s="30"/>
      <c r="G27" s="7"/>
      <c r="H27" s="7"/>
      <c r="I27" s="7"/>
      <c r="J27" s="7"/>
      <c r="K27" s="7"/>
      <c r="L27" s="7"/>
      <c r="M27" s="7"/>
      <c r="N27" s="7"/>
      <c r="O27" s="7"/>
      <c r="P27" s="7"/>
      <c r="Q27" s="7"/>
      <c r="R27" s="7"/>
      <c r="S27" s="7"/>
      <c r="T27" s="7"/>
      <c r="U27" s="4"/>
      <c r="V27" s="4"/>
      <c r="W27" s="4"/>
      <c r="X27" s="4"/>
      <c r="Y27" s="4"/>
      <c r="Z27" s="4"/>
    </row>
    <row r="28" spans="1:26" ht="15.75" customHeight="1">
      <c r="A28" s="7"/>
      <c r="B28" s="7" t="s">
        <v>722</v>
      </c>
      <c r="C28" s="28">
        <f>'Income Statement'!H31/(-'Income Statement'!H36)</f>
        <v>2.4819237407725643</v>
      </c>
      <c r="D28" s="28">
        <f>'Income Statement'!I31/(-'Income Statement'!I36)</f>
        <v>4.2696040400905053</v>
      </c>
      <c r="E28" s="7"/>
      <c r="F28" s="30"/>
      <c r="G28" s="7"/>
      <c r="H28" s="7"/>
      <c r="I28" s="7"/>
      <c r="J28" s="7"/>
      <c r="K28" s="7"/>
      <c r="L28" s="7"/>
      <c r="M28" s="7"/>
      <c r="N28" s="7"/>
      <c r="O28" s="7"/>
      <c r="P28" s="7"/>
      <c r="Q28" s="7"/>
      <c r="R28" s="7"/>
      <c r="S28" s="7"/>
      <c r="T28" s="7"/>
      <c r="U28" s="4"/>
      <c r="V28" s="4"/>
      <c r="W28" s="4"/>
      <c r="X28" s="4"/>
      <c r="Y28" s="4"/>
      <c r="Z28" s="4"/>
    </row>
    <row r="29" spans="1:26" ht="15.75" customHeight="1">
      <c r="A29" s="7"/>
      <c r="B29" s="7" t="s">
        <v>723</v>
      </c>
      <c r="C29" s="28">
        <f>'Balance Sheet'!H15/'Balance Sheet'!H35</f>
        <v>1.8959913816607268</v>
      </c>
      <c r="D29" s="28">
        <f>'Balance Sheet'!I15/'Balance Sheet'!I35</f>
        <v>2.3119360926919388</v>
      </c>
      <c r="E29" s="7"/>
      <c r="F29" s="30"/>
      <c r="G29" s="7"/>
      <c r="H29" s="7"/>
      <c r="I29" s="7"/>
      <c r="J29" s="7"/>
      <c r="K29" s="7"/>
      <c r="L29" s="7"/>
      <c r="M29" s="7"/>
      <c r="N29" s="7"/>
      <c r="O29" s="7"/>
      <c r="P29" s="7"/>
      <c r="Q29" s="7"/>
      <c r="R29" s="7"/>
      <c r="S29" s="7"/>
      <c r="T29" s="7"/>
      <c r="U29" s="4"/>
      <c r="V29" s="4"/>
      <c r="W29" s="4"/>
      <c r="X29" s="4"/>
      <c r="Y29" s="4"/>
      <c r="Z29" s="4"/>
    </row>
    <row r="30" spans="1:26" ht="15.75" customHeight="1">
      <c r="A30" s="7"/>
      <c r="B30" s="7" t="s">
        <v>724</v>
      </c>
      <c r="C30" s="28">
        <f>('Balance Sheet'!H15-'Balance Sheet'!H12)/'Balance Sheet'!H35</f>
        <v>1.8505572377333062</v>
      </c>
      <c r="D30" s="28">
        <f>('Balance Sheet'!I15-'Balance Sheet'!I12)/'Balance Sheet'!I35</f>
        <v>2.2514497321067761</v>
      </c>
      <c r="E30" s="7"/>
      <c r="F30" s="30"/>
      <c r="G30" s="7"/>
      <c r="H30" s="7"/>
      <c r="I30" s="7"/>
      <c r="J30" s="7"/>
      <c r="K30" s="7"/>
      <c r="L30" s="7"/>
      <c r="M30" s="7"/>
      <c r="N30" s="7"/>
      <c r="O30" s="7"/>
      <c r="P30" s="7"/>
      <c r="Q30" s="7"/>
      <c r="R30" s="7"/>
      <c r="S30" s="7"/>
      <c r="T30" s="7"/>
      <c r="U30" s="4"/>
      <c r="V30" s="4"/>
      <c r="W30" s="4"/>
      <c r="X30" s="4"/>
      <c r="Y30" s="4"/>
      <c r="Z30" s="4"/>
    </row>
    <row r="31" spans="1:26" ht="15.75" customHeight="1">
      <c r="A31" s="7"/>
      <c r="B31" s="7" t="s">
        <v>725</v>
      </c>
      <c r="C31" s="523">
        <f>'Balance Sheet'!H60/'Balance Sheet'!H54</f>
        <v>2.2317831936094326</v>
      </c>
      <c r="D31" s="523">
        <f>'Balance Sheet'!I60/'Balance Sheet'!I54</f>
        <v>1.2304853075836153</v>
      </c>
      <c r="E31" s="7"/>
      <c r="F31" s="30"/>
      <c r="G31" s="7"/>
      <c r="H31" s="7"/>
      <c r="I31" s="7"/>
      <c r="J31" s="7"/>
      <c r="K31" s="7"/>
      <c r="L31" s="7"/>
      <c r="M31" s="7"/>
      <c r="N31" s="7"/>
      <c r="O31" s="7"/>
      <c r="P31" s="7"/>
      <c r="Q31" s="7"/>
      <c r="R31" s="7"/>
      <c r="S31" s="7"/>
      <c r="T31" s="7"/>
      <c r="U31" s="4"/>
      <c r="V31" s="4"/>
      <c r="W31" s="4"/>
      <c r="X31" s="4"/>
      <c r="Y31" s="4"/>
      <c r="Z31" s="4"/>
    </row>
    <row r="32" spans="1:26" ht="15.75" customHeight="1">
      <c r="A32" s="7"/>
      <c r="B32" s="7" t="s">
        <v>726</v>
      </c>
      <c r="C32" s="523">
        <f>'Balance Sheet'!H62/'Balance Sheet'!H54</f>
        <v>5.1229662086342795</v>
      </c>
      <c r="D32" s="523">
        <f>'Balance Sheet'!I62/'Balance Sheet'!I54</f>
        <v>6.1812327030765459</v>
      </c>
      <c r="E32" s="7"/>
      <c r="F32" s="30"/>
      <c r="G32" s="7"/>
      <c r="H32" s="7"/>
      <c r="I32" s="7"/>
      <c r="J32" s="7"/>
      <c r="K32" s="7"/>
      <c r="L32" s="7"/>
      <c r="M32" s="7"/>
      <c r="N32" s="7"/>
      <c r="O32" s="7"/>
      <c r="P32" s="7"/>
      <c r="Q32" s="7"/>
      <c r="R32" s="7"/>
      <c r="S32" s="7"/>
      <c r="T32" s="7"/>
      <c r="U32" s="4"/>
      <c r="V32" s="4"/>
      <c r="W32" s="4"/>
      <c r="X32" s="4"/>
      <c r="Y32" s="4"/>
      <c r="Z32" s="4"/>
    </row>
    <row r="33" spans="1:26" ht="15.75" customHeight="1">
      <c r="A33" s="7"/>
      <c r="B33" s="7"/>
      <c r="C33" s="7"/>
      <c r="D33" s="7"/>
      <c r="E33" s="7"/>
      <c r="F33" s="30"/>
      <c r="G33" s="7"/>
      <c r="H33" s="7"/>
      <c r="I33" s="7"/>
      <c r="J33" s="7"/>
      <c r="K33" s="7"/>
      <c r="L33" s="7"/>
      <c r="M33" s="7"/>
      <c r="N33" s="7"/>
      <c r="O33" s="7"/>
      <c r="P33" s="7"/>
      <c r="Q33" s="7"/>
      <c r="R33" s="7"/>
      <c r="S33" s="7"/>
      <c r="T33" s="7"/>
      <c r="U33" s="4"/>
      <c r="V33" s="4"/>
      <c r="W33" s="4"/>
      <c r="X33" s="4"/>
      <c r="Y33" s="4"/>
      <c r="Z33" s="4"/>
    </row>
    <row r="34" spans="1:26" ht="15.75" customHeight="1">
      <c r="A34" s="7"/>
      <c r="B34" s="7"/>
      <c r="C34" s="7"/>
      <c r="D34" s="7"/>
      <c r="E34" s="7"/>
      <c r="F34" s="30"/>
      <c r="G34" s="7"/>
      <c r="H34" s="7"/>
      <c r="I34" s="7"/>
      <c r="J34" s="7"/>
      <c r="K34" s="7"/>
      <c r="L34" s="7"/>
      <c r="M34" s="7"/>
      <c r="N34" s="7"/>
      <c r="O34" s="7"/>
      <c r="P34" s="7"/>
      <c r="Q34" s="7"/>
      <c r="R34" s="7"/>
      <c r="S34" s="7"/>
      <c r="T34" s="7"/>
      <c r="U34" s="4"/>
      <c r="V34" s="4"/>
      <c r="W34" s="4"/>
      <c r="X34" s="4"/>
      <c r="Y34" s="4"/>
      <c r="Z34" s="4"/>
    </row>
    <row r="35" spans="1:26" ht="15.75" customHeight="1">
      <c r="A35" s="7"/>
      <c r="B35" s="7"/>
      <c r="C35" s="7"/>
      <c r="D35" s="7"/>
      <c r="E35" s="7"/>
      <c r="F35" s="30"/>
      <c r="G35" s="7"/>
      <c r="H35" s="7"/>
      <c r="I35" s="7"/>
      <c r="J35" s="7"/>
      <c r="K35" s="7"/>
      <c r="L35" s="7"/>
      <c r="M35" s="7"/>
      <c r="N35" s="7"/>
      <c r="O35" s="7"/>
      <c r="P35" s="7"/>
      <c r="Q35" s="7"/>
      <c r="R35" s="7"/>
      <c r="S35" s="7"/>
      <c r="T35" s="7"/>
      <c r="U35" s="4"/>
      <c r="V35" s="4"/>
      <c r="W35" s="4"/>
      <c r="X35" s="4"/>
      <c r="Y35" s="4"/>
      <c r="Z35" s="4"/>
    </row>
    <row r="36" spans="1:26" ht="15.75" customHeight="1">
      <c r="A36" s="7"/>
      <c r="B36" s="7"/>
      <c r="C36" s="7"/>
      <c r="D36" s="7"/>
      <c r="E36" s="7"/>
      <c r="F36" s="30"/>
      <c r="G36" s="7"/>
      <c r="H36" s="7"/>
      <c r="I36" s="7"/>
      <c r="J36" s="7"/>
      <c r="K36" s="7"/>
      <c r="L36" s="7"/>
      <c r="M36" s="7"/>
      <c r="N36" s="7"/>
      <c r="O36" s="7"/>
      <c r="P36" s="7"/>
      <c r="Q36" s="7"/>
      <c r="R36" s="7"/>
      <c r="S36" s="7"/>
      <c r="T36" s="7"/>
      <c r="U36" s="4"/>
      <c r="V36" s="4"/>
      <c r="W36" s="4"/>
      <c r="X36" s="4"/>
      <c r="Y36" s="4"/>
      <c r="Z36" s="4"/>
    </row>
    <row r="37" spans="1:26" ht="15.75" customHeight="1">
      <c r="A37" s="7"/>
      <c r="B37" s="7"/>
      <c r="C37" s="7"/>
      <c r="D37" s="7"/>
      <c r="E37" s="7"/>
      <c r="F37" s="30"/>
      <c r="G37" s="7"/>
      <c r="H37" s="7"/>
      <c r="I37" s="7"/>
      <c r="J37" s="7"/>
      <c r="K37" s="7"/>
      <c r="L37" s="7"/>
      <c r="M37" s="7"/>
      <c r="N37" s="7"/>
      <c r="O37" s="7"/>
      <c r="P37" s="7"/>
      <c r="Q37" s="7"/>
      <c r="R37" s="7"/>
      <c r="S37" s="7"/>
      <c r="T37" s="7"/>
      <c r="U37" s="4"/>
      <c r="V37" s="4"/>
      <c r="W37" s="4"/>
      <c r="X37" s="4"/>
      <c r="Y37" s="4"/>
      <c r="Z37" s="4"/>
    </row>
    <row r="38" spans="1:26" ht="15.75" customHeight="1">
      <c r="A38" s="7"/>
      <c r="B38" s="7"/>
      <c r="C38" s="7"/>
      <c r="D38" s="7"/>
      <c r="E38" s="7"/>
      <c r="F38" s="30"/>
      <c r="G38" s="7"/>
      <c r="H38" s="7"/>
      <c r="I38" s="7"/>
      <c r="J38" s="7"/>
      <c r="K38" s="7"/>
      <c r="L38" s="7"/>
      <c r="M38" s="7"/>
      <c r="N38" s="7"/>
      <c r="O38" s="7"/>
      <c r="P38" s="7"/>
      <c r="Q38" s="7"/>
      <c r="R38" s="7"/>
      <c r="S38" s="7"/>
      <c r="T38" s="7"/>
      <c r="U38" s="4"/>
      <c r="V38" s="4"/>
      <c r="W38" s="4"/>
      <c r="X38" s="4"/>
      <c r="Y38" s="4"/>
      <c r="Z38" s="4"/>
    </row>
    <row r="39" spans="1:26" ht="15.75" customHeight="1">
      <c r="A39" s="7"/>
      <c r="B39" s="7"/>
      <c r="C39" s="7"/>
      <c r="D39" s="7"/>
      <c r="E39" s="7"/>
      <c r="F39" s="30"/>
      <c r="G39" s="7"/>
      <c r="H39" s="7"/>
      <c r="I39" s="7"/>
      <c r="J39" s="7"/>
      <c r="K39" s="7"/>
      <c r="L39" s="7"/>
      <c r="M39" s="7"/>
      <c r="N39" s="7"/>
      <c r="O39" s="7"/>
      <c r="P39" s="7"/>
      <c r="Q39" s="7"/>
      <c r="R39" s="7"/>
      <c r="S39" s="7"/>
      <c r="T39" s="7"/>
      <c r="U39" s="4"/>
      <c r="V39" s="4"/>
      <c r="W39" s="4"/>
      <c r="X39" s="4"/>
      <c r="Y39" s="4"/>
      <c r="Z39" s="4"/>
    </row>
    <row r="40" spans="1:26" ht="15.75" customHeight="1">
      <c r="A40" s="7"/>
      <c r="B40" s="7"/>
      <c r="C40" s="7"/>
      <c r="D40" s="7"/>
      <c r="E40" s="7"/>
      <c r="F40" s="30"/>
      <c r="G40" s="7"/>
      <c r="H40" s="7"/>
      <c r="I40" s="7"/>
      <c r="J40" s="7"/>
      <c r="K40" s="7"/>
      <c r="L40" s="7"/>
      <c r="M40" s="7"/>
      <c r="N40" s="7"/>
      <c r="O40" s="7"/>
      <c r="P40" s="7"/>
      <c r="Q40" s="7"/>
      <c r="R40" s="7"/>
      <c r="S40" s="7"/>
      <c r="T40" s="7"/>
      <c r="U40" s="4"/>
      <c r="V40" s="4"/>
      <c r="W40" s="4"/>
      <c r="X40" s="4"/>
      <c r="Y40" s="4"/>
      <c r="Z40" s="4"/>
    </row>
    <row r="41" spans="1:26" ht="15.75" customHeight="1">
      <c r="A41" s="7"/>
      <c r="B41" s="7"/>
      <c r="C41" s="7"/>
      <c r="D41" s="7"/>
      <c r="E41" s="7"/>
      <c r="F41" s="30"/>
      <c r="G41" s="7"/>
      <c r="H41" s="7"/>
      <c r="I41" s="7"/>
      <c r="J41" s="7"/>
      <c r="K41" s="7"/>
      <c r="L41" s="7"/>
      <c r="M41" s="7"/>
      <c r="N41" s="7"/>
      <c r="O41" s="7"/>
      <c r="P41" s="7"/>
      <c r="Q41" s="7"/>
      <c r="R41" s="7"/>
      <c r="S41" s="7"/>
      <c r="T41" s="7"/>
      <c r="U41" s="4"/>
      <c r="V41" s="4"/>
      <c r="W41" s="4"/>
      <c r="X41" s="4"/>
      <c r="Y41" s="4"/>
      <c r="Z41" s="4"/>
    </row>
    <row r="42" spans="1:26" ht="15.75" customHeight="1">
      <c r="A42" s="7"/>
      <c r="B42" s="7"/>
      <c r="C42" s="7"/>
      <c r="D42" s="7"/>
      <c r="E42" s="7"/>
      <c r="F42" s="30"/>
      <c r="G42" s="7"/>
      <c r="H42" s="7"/>
      <c r="I42" s="7"/>
      <c r="J42" s="7"/>
      <c r="K42" s="7"/>
      <c r="L42" s="7"/>
      <c r="M42" s="7"/>
      <c r="N42" s="7"/>
      <c r="O42" s="7"/>
      <c r="P42" s="7"/>
      <c r="Q42" s="7"/>
      <c r="R42" s="7"/>
      <c r="S42" s="7"/>
      <c r="T42" s="7"/>
      <c r="U42" s="4"/>
      <c r="V42" s="4"/>
      <c r="W42" s="4"/>
      <c r="X42" s="4"/>
      <c r="Y42" s="4"/>
      <c r="Z42" s="4"/>
    </row>
    <row r="43" spans="1:26" ht="15.75" customHeight="1">
      <c r="A43" s="7"/>
      <c r="B43" s="7"/>
      <c r="C43" s="7"/>
      <c r="D43" s="7"/>
      <c r="E43" s="7"/>
      <c r="F43" s="30"/>
      <c r="G43" s="7"/>
      <c r="H43" s="7"/>
      <c r="I43" s="7"/>
      <c r="J43" s="7"/>
      <c r="K43" s="7"/>
      <c r="L43" s="7"/>
      <c r="M43" s="7"/>
      <c r="N43" s="7"/>
      <c r="O43" s="7"/>
      <c r="P43" s="7"/>
      <c r="Q43" s="7"/>
      <c r="R43" s="7"/>
      <c r="S43" s="7"/>
      <c r="T43" s="7"/>
      <c r="U43" s="4"/>
      <c r="V43" s="4"/>
      <c r="W43" s="4"/>
      <c r="X43" s="4"/>
      <c r="Y43" s="4"/>
      <c r="Z43" s="4"/>
    </row>
    <row r="44" spans="1:26" ht="15.75" customHeight="1">
      <c r="A44" s="7"/>
      <c r="B44" s="7"/>
      <c r="C44" s="7"/>
      <c r="D44" s="7"/>
      <c r="E44" s="7"/>
      <c r="F44" s="30"/>
      <c r="G44" s="7"/>
      <c r="H44" s="7"/>
      <c r="I44" s="7"/>
      <c r="J44" s="7"/>
      <c r="K44" s="7"/>
      <c r="L44" s="7"/>
      <c r="M44" s="7"/>
      <c r="N44" s="7"/>
      <c r="O44" s="7"/>
      <c r="P44" s="7"/>
      <c r="Q44" s="7"/>
      <c r="R44" s="7"/>
      <c r="S44" s="7"/>
      <c r="T44" s="7"/>
      <c r="U44" s="4"/>
      <c r="V44" s="4"/>
      <c r="W44" s="4"/>
      <c r="X44" s="4"/>
      <c r="Y44" s="4"/>
      <c r="Z44" s="4"/>
    </row>
    <row r="45" spans="1:26" ht="15.75" customHeight="1">
      <c r="A45" s="7"/>
      <c r="B45" s="7"/>
      <c r="C45" s="7"/>
      <c r="D45" s="7"/>
      <c r="E45" s="7"/>
      <c r="F45" s="30"/>
      <c r="G45" s="7"/>
      <c r="H45" s="7"/>
      <c r="I45" s="7"/>
      <c r="J45" s="7"/>
      <c r="K45" s="7"/>
      <c r="L45" s="7"/>
      <c r="M45" s="7"/>
      <c r="N45" s="7"/>
      <c r="O45" s="7"/>
      <c r="P45" s="7"/>
      <c r="Q45" s="7"/>
      <c r="R45" s="7"/>
      <c r="S45" s="7"/>
      <c r="T45" s="7"/>
      <c r="U45" s="4"/>
      <c r="V45" s="4"/>
      <c r="W45" s="4"/>
      <c r="X45" s="4"/>
      <c r="Y45" s="4"/>
      <c r="Z45" s="4"/>
    </row>
    <row r="46" spans="1:26" ht="15.75" customHeight="1">
      <c r="A46" s="7"/>
      <c r="B46" s="7"/>
      <c r="C46" s="7"/>
      <c r="D46" s="7"/>
      <c r="E46" s="7"/>
      <c r="F46" s="30"/>
      <c r="G46" s="7"/>
      <c r="H46" s="7"/>
      <c r="I46" s="7"/>
      <c r="J46" s="7"/>
      <c r="K46" s="7"/>
      <c r="L46" s="7"/>
      <c r="M46" s="7"/>
      <c r="N46" s="7"/>
      <c r="O46" s="7"/>
      <c r="P46" s="7"/>
      <c r="Q46" s="7"/>
      <c r="R46" s="7"/>
      <c r="S46" s="7"/>
      <c r="T46" s="7"/>
      <c r="U46" s="4"/>
      <c r="V46" s="4"/>
      <c r="W46" s="4"/>
      <c r="X46" s="4"/>
      <c r="Y46" s="4"/>
      <c r="Z46" s="4"/>
    </row>
    <row r="47" spans="1:26" ht="15.75" customHeight="1">
      <c r="A47" s="7"/>
      <c r="B47" s="7"/>
      <c r="C47" s="7"/>
      <c r="D47" s="7"/>
      <c r="E47" s="7"/>
      <c r="F47" s="30"/>
      <c r="G47" s="7"/>
      <c r="H47" s="7"/>
      <c r="I47" s="7"/>
      <c r="J47" s="7"/>
      <c r="K47" s="7"/>
      <c r="L47" s="7"/>
      <c r="M47" s="7"/>
      <c r="N47" s="7"/>
      <c r="O47" s="7"/>
      <c r="P47" s="7"/>
      <c r="Q47" s="7"/>
      <c r="R47" s="7"/>
      <c r="S47" s="7"/>
      <c r="T47" s="7"/>
      <c r="U47" s="4"/>
      <c r="V47" s="4"/>
      <c r="W47" s="4"/>
      <c r="X47" s="4"/>
      <c r="Y47" s="4"/>
      <c r="Z47" s="4"/>
    </row>
    <row r="48" spans="1:26" ht="15.75" customHeight="1">
      <c r="A48" s="7"/>
      <c r="B48" s="7"/>
      <c r="C48" s="7"/>
      <c r="D48" s="7"/>
      <c r="E48" s="7"/>
      <c r="F48" s="30"/>
      <c r="G48" s="7"/>
      <c r="H48" s="7"/>
      <c r="I48" s="7"/>
      <c r="J48" s="7"/>
      <c r="K48" s="7"/>
      <c r="L48" s="7"/>
      <c r="M48" s="7"/>
      <c r="N48" s="7"/>
      <c r="O48" s="7"/>
      <c r="P48" s="7"/>
      <c r="Q48" s="7"/>
      <c r="R48" s="7"/>
      <c r="S48" s="7"/>
      <c r="T48" s="7"/>
      <c r="U48" s="4"/>
      <c r="V48" s="4"/>
      <c r="W48" s="4"/>
      <c r="X48" s="4"/>
      <c r="Y48" s="4"/>
      <c r="Z48" s="4"/>
    </row>
    <row r="49" spans="1:26" ht="15.75" customHeight="1">
      <c r="A49" s="7"/>
      <c r="B49" s="7"/>
      <c r="C49" s="7"/>
      <c r="D49" s="7"/>
      <c r="E49" s="7"/>
      <c r="F49" s="30"/>
      <c r="G49" s="7"/>
      <c r="H49" s="7"/>
      <c r="I49" s="7"/>
      <c r="J49" s="7"/>
      <c r="K49" s="7"/>
      <c r="L49" s="7"/>
      <c r="M49" s="7"/>
      <c r="N49" s="7"/>
      <c r="O49" s="7"/>
      <c r="P49" s="7"/>
      <c r="Q49" s="7"/>
      <c r="R49" s="7"/>
      <c r="S49" s="7"/>
      <c r="T49" s="7"/>
      <c r="U49" s="4"/>
      <c r="V49" s="4"/>
      <c r="W49" s="4"/>
      <c r="X49" s="4"/>
      <c r="Y49" s="4"/>
      <c r="Z49" s="4"/>
    </row>
    <row r="50" spans="1:26" ht="15.75" customHeight="1">
      <c r="A50" s="7"/>
      <c r="B50" s="7"/>
      <c r="C50" s="7"/>
      <c r="D50" s="7"/>
      <c r="E50" s="7"/>
      <c r="F50" s="30"/>
      <c r="G50" s="7"/>
      <c r="H50" s="7"/>
      <c r="I50" s="7"/>
      <c r="J50" s="7"/>
      <c r="K50" s="7"/>
      <c r="L50" s="7"/>
      <c r="M50" s="7"/>
      <c r="N50" s="7"/>
      <c r="O50" s="7"/>
      <c r="P50" s="7"/>
      <c r="Q50" s="7"/>
      <c r="R50" s="7"/>
      <c r="S50" s="7"/>
      <c r="T50" s="7"/>
      <c r="U50" s="4"/>
      <c r="V50" s="4"/>
      <c r="W50" s="4"/>
      <c r="X50" s="4"/>
      <c r="Y50" s="4"/>
      <c r="Z50" s="4"/>
    </row>
    <row r="51" spans="1:26" ht="15.75" customHeight="1">
      <c r="A51" s="7"/>
      <c r="B51" s="7"/>
      <c r="C51" s="7"/>
      <c r="D51" s="7"/>
      <c r="E51" s="7"/>
      <c r="F51" s="30"/>
      <c r="G51" s="7"/>
      <c r="H51" s="7"/>
      <c r="I51" s="7"/>
      <c r="J51" s="7"/>
      <c r="K51" s="7"/>
      <c r="L51" s="7"/>
      <c r="M51" s="7"/>
      <c r="N51" s="7"/>
      <c r="O51" s="7"/>
      <c r="P51" s="7"/>
      <c r="Q51" s="7"/>
      <c r="R51" s="7"/>
      <c r="S51" s="7"/>
      <c r="T51" s="7"/>
      <c r="U51" s="4"/>
      <c r="V51" s="4"/>
      <c r="W51" s="4"/>
      <c r="X51" s="4"/>
      <c r="Y51" s="4"/>
      <c r="Z51" s="4"/>
    </row>
    <row r="52" spans="1:26" ht="15.75" customHeight="1">
      <c r="A52" s="7"/>
      <c r="B52" s="7"/>
      <c r="C52" s="7"/>
      <c r="D52" s="7"/>
      <c r="E52" s="7"/>
      <c r="F52" s="30"/>
      <c r="G52" s="7"/>
      <c r="H52" s="7"/>
      <c r="I52" s="7"/>
      <c r="J52" s="7"/>
      <c r="K52" s="7"/>
      <c r="L52" s="7"/>
      <c r="M52" s="7"/>
      <c r="N52" s="7"/>
      <c r="O52" s="7"/>
      <c r="P52" s="7"/>
      <c r="Q52" s="7"/>
      <c r="R52" s="7"/>
      <c r="S52" s="7"/>
      <c r="T52" s="7"/>
      <c r="U52" s="4"/>
      <c r="V52" s="4"/>
      <c r="W52" s="4"/>
      <c r="X52" s="4"/>
      <c r="Y52" s="4"/>
      <c r="Z52" s="4"/>
    </row>
    <row r="53" spans="1:26" ht="15.75" customHeight="1">
      <c r="A53" s="7"/>
      <c r="B53" s="7"/>
      <c r="C53" s="7"/>
      <c r="D53" s="7"/>
      <c r="E53" s="7"/>
      <c r="F53" s="30"/>
      <c r="G53" s="7"/>
      <c r="H53" s="7"/>
      <c r="I53" s="7"/>
      <c r="J53" s="7"/>
      <c r="K53" s="7"/>
      <c r="L53" s="7"/>
      <c r="M53" s="7"/>
      <c r="N53" s="7"/>
      <c r="O53" s="7"/>
      <c r="P53" s="7"/>
      <c r="Q53" s="7"/>
      <c r="R53" s="7"/>
      <c r="S53" s="7"/>
      <c r="T53" s="7"/>
      <c r="U53" s="4"/>
      <c r="V53" s="4"/>
      <c r="W53" s="4"/>
      <c r="X53" s="4"/>
      <c r="Y53" s="4"/>
      <c r="Z53" s="4"/>
    </row>
    <row r="54" spans="1:26" ht="15.75" customHeight="1">
      <c r="A54" s="7"/>
      <c r="B54" s="7"/>
      <c r="C54" s="7"/>
      <c r="D54" s="7"/>
      <c r="E54" s="7"/>
      <c r="F54" s="30"/>
      <c r="G54" s="7"/>
      <c r="H54" s="7"/>
      <c r="I54" s="7"/>
      <c r="J54" s="7"/>
      <c r="K54" s="7"/>
      <c r="L54" s="7"/>
      <c r="M54" s="7"/>
      <c r="N54" s="7"/>
      <c r="O54" s="7"/>
      <c r="P54" s="7"/>
      <c r="Q54" s="7"/>
      <c r="R54" s="7"/>
      <c r="S54" s="7"/>
      <c r="T54" s="7"/>
      <c r="U54" s="4"/>
      <c r="V54" s="4"/>
      <c r="W54" s="4"/>
      <c r="X54" s="4"/>
      <c r="Y54" s="4"/>
      <c r="Z54" s="4"/>
    </row>
    <row r="55" spans="1:26" ht="15.75" customHeight="1">
      <c r="A55" s="7"/>
      <c r="B55" s="7"/>
      <c r="C55" s="7"/>
      <c r="D55" s="7"/>
      <c r="E55" s="7"/>
      <c r="F55" s="30"/>
      <c r="G55" s="7"/>
      <c r="H55" s="7"/>
      <c r="I55" s="7"/>
      <c r="J55" s="7"/>
      <c r="K55" s="7"/>
      <c r="L55" s="7"/>
      <c r="M55" s="7"/>
      <c r="N55" s="7"/>
      <c r="O55" s="7"/>
      <c r="P55" s="7"/>
      <c r="Q55" s="7"/>
      <c r="R55" s="7"/>
      <c r="S55" s="7"/>
      <c r="T55" s="7"/>
      <c r="U55" s="4"/>
      <c r="V55" s="4"/>
      <c r="W55" s="4"/>
      <c r="X55" s="4"/>
      <c r="Y55" s="4"/>
      <c r="Z55" s="4"/>
    </row>
    <row r="56" spans="1:26" ht="15.75" customHeight="1">
      <c r="A56" s="7"/>
      <c r="B56" s="7"/>
      <c r="C56" s="7"/>
      <c r="D56" s="7"/>
      <c r="E56" s="7"/>
      <c r="F56" s="30"/>
      <c r="G56" s="7"/>
      <c r="H56" s="7"/>
      <c r="I56" s="7"/>
      <c r="J56" s="7"/>
      <c r="K56" s="7"/>
      <c r="L56" s="7"/>
      <c r="M56" s="7"/>
      <c r="N56" s="7"/>
      <c r="O56" s="7"/>
      <c r="P56" s="7"/>
      <c r="Q56" s="7"/>
      <c r="R56" s="7"/>
      <c r="S56" s="7"/>
      <c r="T56" s="7"/>
      <c r="U56" s="4"/>
      <c r="V56" s="4"/>
      <c r="W56" s="4"/>
      <c r="X56" s="4"/>
      <c r="Y56" s="4"/>
      <c r="Z56" s="4"/>
    </row>
    <row r="57" spans="1:26" ht="15.75" customHeight="1">
      <c r="A57" s="7"/>
      <c r="B57" s="7"/>
      <c r="C57" s="7"/>
      <c r="D57" s="7"/>
      <c r="E57" s="7"/>
      <c r="F57" s="30"/>
      <c r="G57" s="7"/>
      <c r="H57" s="7"/>
      <c r="I57" s="7"/>
      <c r="J57" s="7"/>
      <c r="K57" s="7"/>
      <c r="L57" s="7"/>
      <c r="M57" s="7"/>
      <c r="N57" s="7"/>
      <c r="O57" s="7"/>
      <c r="P57" s="7"/>
      <c r="Q57" s="7"/>
      <c r="R57" s="7"/>
      <c r="S57" s="7"/>
      <c r="T57" s="7"/>
      <c r="U57" s="4"/>
      <c r="V57" s="4"/>
      <c r="W57" s="4"/>
      <c r="X57" s="4"/>
      <c r="Y57" s="4"/>
      <c r="Z57" s="4"/>
    </row>
    <row r="58" spans="1:26" ht="15.75" customHeight="1">
      <c r="A58" s="7"/>
      <c r="B58" s="7"/>
      <c r="C58" s="7"/>
      <c r="D58" s="7"/>
      <c r="E58" s="7"/>
      <c r="F58" s="30"/>
      <c r="G58" s="7"/>
      <c r="H58" s="7"/>
      <c r="I58" s="7"/>
      <c r="J58" s="7"/>
      <c r="K58" s="7"/>
      <c r="L58" s="7"/>
      <c r="M58" s="7"/>
      <c r="N58" s="7"/>
      <c r="O58" s="7"/>
      <c r="P58" s="7"/>
      <c r="Q58" s="7"/>
      <c r="R58" s="7"/>
      <c r="S58" s="7"/>
      <c r="T58" s="7"/>
      <c r="U58" s="4"/>
      <c r="V58" s="4"/>
      <c r="W58" s="4"/>
      <c r="X58" s="4"/>
      <c r="Y58" s="4"/>
      <c r="Z58" s="4"/>
    </row>
    <row r="59" spans="1:26" ht="15.75" customHeight="1">
      <c r="A59" s="7"/>
      <c r="B59" s="7"/>
      <c r="C59" s="7"/>
      <c r="D59" s="7"/>
      <c r="E59" s="7"/>
      <c r="F59" s="30"/>
      <c r="G59" s="7"/>
      <c r="H59" s="7"/>
      <c r="I59" s="7"/>
      <c r="J59" s="7"/>
      <c r="K59" s="7"/>
      <c r="L59" s="7"/>
      <c r="M59" s="7"/>
      <c r="N59" s="7"/>
      <c r="O59" s="7"/>
      <c r="P59" s="7"/>
      <c r="Q59" s="7"/>
      <c r="R59" s="7"/>
      <c r="S59" s="7"/>
      <c r="T59" s="7"/>
      <c r="U59" s="4"/>
      <c r="V59" s="4"/>
      <c r="W59" s="4"/>
      <c r="X59" s="4"/>
      <c r="Y59" s="4"/>
      <c r="Z59" s="4"/>
    </row>
    <row r="60" spans="1:26" ht="15.75" customHeight="1">
      <c r="A60" s="7"/>
      <c r="B60" s="7"/>
      <c r="C60" s="7"/>
      <c r="D60" s="7"/>
      <c r="E60" s="7"/>
      <c r="F60" s="30"/>
      <c r="G60" s="7"/>
      <c r="H60" s="7"/>
      <c r="I60" s="7"/>
      <c r="J60" s="7"/>
      <c r="K60" s="7"/>
      <c r="L60" s="7"/>
      <c r="M60" s="7"/>
      <c r="N60" s="7"/>
      <c r="O60" s="7"/>
      <c r="P60" s="7"/>
      <c r="Q60" s="7"/>
      <c r="R60" s="7"/>
      <c r="S60" s="7"/>
      <c r="T60" s="7"/>
      <c r="U60" s="4"/>
      <c r="V60" s="4"/>
      <c r="W60" s="4"/>
      <c r="X60" s="4"/>
      <c r="Y60" s="4"/>
      <c r="Z60" s="4"/>
    </row>
    <row r="61" spans="1:26" ht="15.75" customHeight="1">
      <c r="A61" s="7"/>
      <c r="B61" s="7"/>
      <c r="C61" s="7"/>
      <c r="D61" s="7"/>
      <c r="E61" s="7"/>
      <c r="F61" s="30"/>
      <c r="G61" s="7"/>
      <c r="H61" s="7"/>
      <c r="I61" s="7"/>
      <c r="J61" s="7"/>
      <c r="K61" s="7"/>
      <c r="L61" s="7"/>
      <c r="M61" s="7"/>
      <c r="N61" s="7"/>
      <c r="O61" s="7"/>
      <c r="P61" s="7"/>
      <c r="Q61" s="7"/>
      <c r="R61" s="7"/>
      <c r="S61" s="7"/>
      <c r="T61" s="7"/>
      <c r="U61" s="4"/>
      <c r="V61" s="4"/>
      <c r="W61" s="4"/>
      <c r="X61" s="4"/>
      <c r="Y61" s="4"/>
      <c r="Z61" s="4"/>
    </row>
    <row r="62" spans="1:26" ht="15.75" customHeight="1">
      <c r="A62" s="7"/>
      <c r="B62" s="7"/>
      <c r="C62" s="7"/>
      <c r="D62" s="7"/>
      <c r="E62" s="7"/>
      <c r="F62" s="30"/>
      <c r="G62" s="7"/>
      <c r="H62" s="7"/>
      <c r="I62" s="7"/>
      <c r="J62" s="7"/>
      <c r="K62" s="7"/>
      <c r="L62" s="7"/>
      <c r="M62" s="7"/>
      <c r="N62" s="7"/>
      <c r="O62" s="7"/>
      <c r="P62" s="7"/>
      <c r="Q62" s="7"/>
      <c r="R62" s="7"/>
      <c r="S62" s="7"/>
      <c r="T62" s="7"/>
      <c r="U62" s="4"/>
      <c r="V62" s="4"/>
      <c r="W62" s="4"/>
      <c r="X62" s="4"/>
      <c r="Y62" s="4"/>
      <c r="Z62" s="4"/>
    </row>
    <row r="63" spans="1:26" ht="15.75" customHeight="1">
      <c r="A63" s="7"/>
      <c r="B63" s="7"/>
      <c r="C63" s="7"/>
      <c r="D63" s="7"/>
      <c r="E63" s="7"/>
      <c r="F63" s="30"/>
      <c r="G63" s="7"/>
      <c r="H63" s="7"/>
      <c r="I63" s="7"/>
      <c r="J63" s="7"/>
      <c r="K63" s="7"/>
      <c r="L63" s="7"/>
      <c r="M63" s="7"/>
      <c r="N63" s="7"/>
      <c r="O63" s="7"/>
      <c r="P63" s="7"/>
      <c r="Q63" s="7"/>
      <c r="R63" s="7"/>
      <c r="S63" s="7"/>
      <c r="T63" s="7"/>
      <c r="U63" s="4"/>
      <c r="V63" s="4"/>
      <c r="W63" s="4"/>
      <c r="X63" s="4"/>
      <c r="Y63" s="4"/>
      <c r="Z63" s="4"/>
    </row>
    <row r="64" spans="1:26" ht="15.75" customHeight="1">
      <c r="A64" s="7"/>
      <c r="B64" s="7"/>
      <c r="C64" s="7"/>
      <c r="D64" s="7"/>
      <c r="E64" s="7"/>
      <c r="F64" s="30"/>
      <c r="G64" s="7"/>
      <c r="H64" s="7"/>
      <c r="I64" s="7"/>
      <c r="J64" s="7"/>
      <c r="K64" s="7"/>
      <c r="L64" s="7"/>
      <c r="M64" s="7"/>
      <c r="N64" s="7"/>
      <c r="O64" s="7"/>
      <c r="P64" s="7"/>
      <c r="Q64" s="7"/>
      <c r="R64" s="7"/>
      <c r="S64" s="7"/>
      <c r="T64" s="7"/>
      <c r="U64" s="4"/>
      <c r="V64" s="4"/>
      <c r="W64" s="4"/>
      <c r="X64" s="4"/>
      <c r="Y64" s="4"/>
      <c r="Z64" s="4"/>
    </row>
    <row r="65" spans="1:26" ht="15.75" customHeight="1">
      <c r="A65" s="7"/>
      <c r="B65" s="7"/>
      <c r="C65" s="7"/>
      <c r="D65" s="7"/>
      <c r="E65" s="7"/>
      <c r="F65" s="30"/>
      <c r="G65" s="7"/>
      <c r="H65" s="7"/>
      <c r="I65" s="7"/>
      <c r="J65" s="7"/>
      <c r="K65" s="7"/>
      <c r="L65" s="7"/>
      <c r="M65" s="7"/>
      <c r="N65" s="7"/>
      <c r="O65" s="7"/>
      <c r="P65" s="7"/>
      <c r="Q65" s="7"/>
      <c r="R65" s="7"/>
      <c r="S65" s="7"/>
      <c r="T65" s="7"/>
      <c r="U65" s="4"/>
      <c r="V65" s="4"/>
      <c r="W65" s="4"/>
      <c r="X65" s="4"/>
      <c r="Y65" s="4"/>
      <c r="Z65" s="4"/>
    </row>
    <row r="66" spans="1:26" ht="15.75" customHeight="1">
      <c r="A66" s="7"/>
      <c r="B66" s="7"/>
      <c r="C66" s="7"/>
      <c r="D66" s="7"/>
      <c r="E66" s="7"/>
      <c r="F66" s="30"/>
      <c r="G66" s="7"/>
      <c r="H66" s="7"/>
      <c r="I66" s="7"/>
      <c r="J66" s="7"/>
      <c r="K66" s="7"/>
      <c r="L66" s="7"/>
      <c r="M66" s="7"/>
      <c r="N66" s="7"/>
      <c r="O66" s="7"/>
      <c r="P66" s="7"/>
      <c r="Q66" s="7"/>
      <c r="R66" s="7"/>
      <c r="S66" s="7"/>
      <c r="T66" s="7"/>
      <c r="U66" s="4"/>
      <c r="V66" s="4"/>
      <c r="W66" s="4"/>
      <c r="X66" s="4"/>
      <c r="Y66" s="4"/>
      <c r="Z66" s="4"/>
    </row>
    <row r="67" spans="1:26" ht="15.75" customHeight="1">
      <c r="A67" s="7"/>
      <c r="B67" s="7"/>
      <c r="C67" s="7"/>
      <c r="D67" s="7"/>
      <c r="E67" s="7"/>
      <c r="F67" s="30"/>
      <c r="G67" s="7"/>
      <c r="H67" s="7"/>
      <c r="I67" s="7"/>
      <c r="J67" s="7"/>
      <c r="K67" s="7"/>
      <c r="L67" s="7"/>
      <c r="M67" s="7"/>
      <c r="N67" s="7"/>
      <c r="O67" s="7"/>
      <c r="P67" s="7"/>
      <c r="Q67" s="7"/>
      <c r="R67" s="7"/>
      <c r="S67" s="7"/>
      <c r="T67" s="7"/>
      <c r="U67" s="4"/>
      <c r="V67" s="4"/>
      <c r="W67" s="4"/>
      <c r="X67" s="4"/>
      <c r="Y67" s="4"/>
      <c r="Z67" s="4"/>
    </row>
    <row r="68" spans="1:26" ht="15.75" customHeight="1">
      <c r="A68" s="7"/>
      <c r="B68" s="7"/>
      <c r="C68" s="7"/>
      <c r="D68" s="7"/>
      <c r="E68" s="7"/>
      <c r="F68" s="30"/>
      <c r="G68" s="7"/>
      <c r="H68" s="7"/>
      <c r="I68" s="7"/>
      <c r="J68" s="7"/>
      <c r="K68" s="7"/>
      <c r="L68" s="7"/>
      <c r="M68" s="7"/>
      <c r="N68" s="7"/>
      <c r="O68" s="7"/>
      <c r="P68" s="7"/>
      <c r="Q68" s="7"/>
      <c r="R68" s="7"/>
      <c r="S68" s="7"/>
      <c r="T68" s="7"/>
      <c r="U68" s="4"/>
      <c r="V68" s="4"/>
      <c r="W68" s="4"/>
      <c r="X68" s="4"/>
      <c r="Y68" s="4"/>
      <c r="Z68" s="4"/>
    </row>
    <row r="69" spans="1:26" ht="15.75" customHeight="1">
      <c r="A69" s="7"/>
      <c r="B69" s="7"/>
      <c r="C69" s="7"/>
      <c r="D69" s="7"/>
      <c r="E69" s="7"/>
      <c r="F69" s="30"/>
      <c r="G69" s="7"/>
      <c r="H69" s="7"/>
      <c r="I69" s="7"/>
      <c r="J69" s="7"/>
      <c r="K69" s="7"/>
      <c r="L69" s="7"/>
      <c r="M69" s="7"/>
      <c r="N69" s="7"/>
      <c r="O69" s="7"/>
      <c r="P69" s="7"/>
      <c r="Q69" s="7"/>
      <c r="R69" s="7"/>
      <c r="S69" s="7"/>
      <c r="T69" s="7"/>
      <c r="U69" s="4"/>
      <c r="V69" s="4"/>
      <c r="W69" s="4"/>
      <c r="X69" s="4"/>
      <c r="Y69" s="4"/>
      <c r="Z69" s="4"/>
    </row>
    <row r="70" spans="1:26" ht="15.75" customHeight="1">
      <c r="A70" s="7"/>
      <c r="B70" s="7"/>
      <c r="C70" s="7"/>
      <c r="D70" s="7"/>
      <c r="E70" s="7"/>
      <c r="F70" s="30"/>
      <c r="G70" s="7"/>
      <c r="H70" s="7"/>
      <c r="I70" s="7"/>
      <c r="J70" s="7"/>
      <c r="K70" s="7"/>
      <c r="L70" s="7"/>
      <c r="M70" s="7"/>
      <c r="N70" s="7"/>
      <c r="O70" s="7"/>
      <c r="P70" s="7"/>
      <c r="Q70" s="7"/>
      <c r="R70" s="7"/>
      <c r="S70" s="7"/>
      <c r="T70" s="7"/>
      <c r="U70" s="4"/>
      <c r="V70" s="4"/>
      <c r="W70" s="4"/>
      <c r="X70" s="4"/>
      <c r="Y70" s="4"/>
      <c r="Z70" s="4"/>
    </row>
    <row r="71" spans="1:26" ht="15.75" customHeight="1">
      <c r="A71" s="7"/>
      <c r="B71" s="7"/>
      <c r="C71" s="7"/>
      <c r="D71" s="7"/>
      <c r="E71" s="7"/>
      <c r="F71" s="30"/>
      <c r="G71" s="7"/>
      <c r="H71" s="7"/>
      <c r="I71" s="7"/>
      <c r="J71" s="7"/>
      <c r="K71" s="7"/>
      <c r="L71" s="7"/>
      <c r="M71" s="7"/>
      <c r="N71" s="7"/>
      <c r="O71" s="7"/>
      <c r="P71" s="7"/>
      <c r="Q71" s="7"/>
      <c r="R71" s="7"/>
      <c r="S71" s="7"/>
      <c r="T71" s="7"/>
      <c r="U71" s="4"/>
      <c r="V71" s="4"/>
      <c r="W71" s="4"/>
      <c r="X71" s="4"/>
      <c r="Y71" s="4"/>
      <c r="Z71" s="4"/>
    </row>
    <row r="72" spans="1:26" ht="15.75" customHeight="1">
      <c r="A72" s="7"/>
      <c r="B72" s="7"/>
      <c r="C72" s="7"/>
      <c r="D72" s="7"/>
      <c r="E72" s="7"/>
      <c r="F72" s="30"/>
      <c r="G72" s="7"/>
      <c r="H72" s="7"/>
      <c r="I72" s="7"/>
      <c r="J72" s="7"/>
      <c r="K72" s="7"/>
      <c r="L72" s="7"/>
      <c r="M72" s="7"/>
      <c r="N72" s="7"/>
      <c r="O72" s="7"/>
      <c r="P72" s="7"/>
      <c r="Q72" s="7"/>
      <c r="R72" s="7"/>
      <c r="S72" s="7"/>
      <c r="T72" s="7"/>
      <c r="U72" s="4"/>
      <c r="V72" s="4"/>
      <c r="W72" s="4"/>
      <c r="X72" s="4"/>
      <c r="Y72" s="4"/>
      <c r="Z72" s="4"/>
    </row>
    <row r="73" spans="1:26" ht="15.75" customHeight="1">
      <c r="A73" s="7"/>
      <c r="B73" s="7"/>
      <c r="C73" s="7"/>
      <c r="D73" s="7"/>
      <c r="E73" s="7"/>
      <c r="F73" s="30"/>
      <c r="G73" s="7"/>
      <c r="H73" s="7"/>
      <c r="I73" s="7"/>
      <c r="J73" s="7"/>
      <c r="K73" s="7"/>
      <c r="L73" s="7"/>
      <c r="M73" s="7"/>
      <c r="N73" s="7"/>
      <c r="O73" s="7"/>
      <c r="P73" s="7"/>
      <c r="Q73" s="7"/>
      <c r="R73" s="7"/>
      <c r="S73" s="7"/>
      <c r="T73" s="7"/>
      <c r="U73" s="4"/>
      <c r="V73" s="4"/>
      <c r="W73" s="4"/>
      <c r="X73" s="4"/>
      <c r="Y73" s="4"/>
      <c r="Z73" s="4"/>
    </row>
    <row r="74" spans="1:26" ht="15.75" customHeight="1">
      <c r="A74" s="7"/>
      <c r="B74" s="7"/>
      <c r="C74" s="7"/>
      <c r="D74" s="7"/>
      <c r="E74" s="7"/>
      <c r="F74" s="30"/>
      <c r="G74" s="7"/>
      <c r="H74" s="7"/>
      <c r="I74" s="7"/>
      <c r="J74" s="7"/>
      <c r="K74" s="7"/>
      <c r="L74" s="7"/>
      <c r="M74" s="7"/>
      <c r="N74" s="7"/>
      <c r="O74" s="7"/>
      <c r="P74" s="7"/>
      <c r="Q74" s="7"/>
      <c r="R74" s="7"/>
      <c r="S74" s="7"/>
      <c r="T74" s="7"/>
      <c r="U74" s="4"/>
      <c r="V74" s="4"/>
      <c r="W74" s="4"/>
      <c r="X74" s="4"/>
      <c r="Y74" s="4"/>
      <c r="Z74" s="4"/>
    </row>
    <row r="75" spans="1:26" ht="15.75" customHeight="1">
      <c r="A75" s="7"/>
      <c r="B75" s="7"/>
      <c r="C75" s="7"/>
      <c r="D75" s="7"/>
      <c r="E75" s="7"/>
      <c r="F75" s="30"/>
      <c r="G75" s="7"/>
      <c r="H75" s="7"/>
      <c r="I75" s="7"/>
      <c r="J75" s="7"/>
      <c r="K75" s="7"/>
      <c r="L75" s="7"/>
      <c r="M75" s="7"/>
      <c r="N75" s="7"/>
      <c r="O75" s="7"/>
      <c r="P75" s="7"/>
      <c r="Q75" s="7"/>
      <c r="R75" s="7"/>
      <c r="S75" s="7"/>
      <c r="T75" s="7"/>
      <c r="U75" s="4"/>
      <c r="V75" s="4"/>
      <c r="W75" s="4"/>
      <c r="X75" s="4"/>
      <c r="Y75" s="4"/>
      <c r="Z75" s="4"/>
    </row>
    <row r="76" spans="1:26" ht="15.75" customHeight="1">
      <c r="A76" s="7"/>
      <c r="B76" s="7"/>
      <c r="C76" s="7"/>
      <c r="D76" s="7"/>
      <c r="E76" s="7"/>
      <c r="F76" s="30"/>
      <c r="G76" s="7"/>
      <c r="H76" s="7"/>
      <c r="I76" s="7"/>
      <c r="J76" s="7"/>
      <c r="K76" s="7"/>
      <c r="L76" s="7"/>
      <c r="M76" s="7"/>
      <c r="N76" s="7"/>
      <c r="O76" s="7"/>
      <c r="P76" s="7"/>
      <c r="Q76" s="7"/>
      <c r="R76" s="7"/>
      <c r="S76" s="7"/>
      <c r="T76" s="7"/>
      <c r="U76" s="4"/>
      <c r="V76" s="4"/>
      <c r="W76" s="4"/>
      <c r="X76" s="4"/>
      <c r="Y76" s="4"/>
      <c r="Z76" s="4"/>
    </row>
    <row r="77" spans="1:26" ht="15.75" customHeight="1">
      <c r="A77" s="7"/>
      <c r="B77" s="7"/>
      <c r="C77" s="7"/>
      <c r="D77" s="7"/>
      <c r="E77" s="7"/>
      <c r="F77" s="30"/>
      <c r="G77" s="7"/>
      <c r="H77" s="7"/>
      <c r="I77" s="7"/>
      <c r="J77" s="7"/>
      <c r="K77" s="7"/>
      <c r="L77" s="7"/>
      <c r="M77" s="7"/>
      <c r="N77" s="7"/>
      <c r="O77" s="7"/>
      <c r="P77" s="7"/>
      <c r="Q77" s="7"/>
      <c r="R77" s="7"/>
      <c r="S77" s="7"/>
      <c r="T77" s="7"/>
      <c r="U77" s="4"/>
      <c r="V77" s="4"/>
      <c r="W77" s="4"/>
      <c r="X77" s="4"/>
      <c r="Y77" s="4"/>
      <c r="Z77" s="4"/>
    </row>
    <row r="78" spans="1:26" ht="15.75" customHeight="1">
      <c r="A78" s="7"/>
      <c r="B78" s="7"/>
      <c r="C78" s="7"/>
      <c r="D78" s="7"/>
      <c r="E78" s="7"/>
      <c r="F78" s="30"/>
      <c r="G78" s="7"/>
      <c r="H78" s="7"/>
      <c r="I78" s="7"/>
      <c r="J78" s="7"/>
      <c r="K78" s="7"/>
      <c r="L78" s="7"/>
      <c r="M78" s="7"/>
      <c r="N78" s="7"/>
      <c r="O78" s="7"/>
      <c r="P78" s="7"/>
      <c r="Q78" s="7"/>
      <c r="R78" s="7"/>
      <c r="S78" s="7"/>
      <c r="T78" s="7"/>
      <c r="U78" s="4"/>
      <c r="V78" s="4"/>
      <c r="W78" s="4"/>
      <c r="X78" s="4"/>
      <c r="Y78" s="4"/>
      <c r="Z78" s="4"/>
    </row>
    <row r="79" spans="1:26" ht="15.75" customHeight="1">
      <c r="A79" s="7"/>
      <c r="B79" s="7"/>
      <c r="C79" s="7"/>
      <c r="D79" s="7"/>
      <c r="E79" s="7"/>
      <c r="F79" s="30"/>
      <c r="G79" s="7"/>
      <c r="H79" s="7"/>
      <c r="I79" s="7"/>
      <c r="J79" s="7"/>
      <c r="K79" s="7"/>
      <c r="L79" s="7"/>
      <c r="M79" s="7"/>
      <c r="N79" s="7"/>
      <c r="O79" s="7"/>
      <c r="P79" s="7"/>
      <c r="Q79" s="7"/>
      <c r="R79" s="7"/>
      <c r="S79" s="7"/>
      <c r="T79" s="7"/>
      <c r="U79" s="4"/>
      <c r="V79" s="4"/>
      <c r="W79" s="4"/>
      <c r="X79" s="4"/>
      <c r="Y79" s="4"/>
      <c r="Z79" s="4"/>
    </row>
    <row r="80" spans="1:26" ht="15.75" customHeight="1">
      <c r="A80" s="7"/>
      <c r="B80" s="7"/>
      <c r="C80" s="7"/>
      <c r="D80" s="7"/>
      <c r="E80" s="7"/>
      <c r="F80" s="30"/>
      <c r="G80" s="7"/>
      <c r="H80" s="7"/>
      <c r="I80" s="7"/>
      <c r="J80" s="7"/>
      <c r="K80" s="7"/>
      <c r="L80" s="7"/>
      <c r="M80" s="7"/>
      <c r="N80" s="7"/>
      <c r="O80" s="7"/>
      <c r="P80" s="7"/>
      <c r="Q80" s="7"/>
      <c r="R80" s="7"/>
      <c r="S80" s="7"/>
      <c r="T80" s="7"/>
      <c r="U80" s="4"/>
      <c r="V80" s="4"/>
      <c r="W80" s="4"/>
      <c r="X80" s="4"/>
      <c r="Y80" s="4"/>
      <c r="Z80" s="4"/>
    </row>
    <row r="81" spans="1:26" ht="15.75" customHeight="1">
      <c r="A81" s="7"/>
      <c r="B81" s="7"/>
      <c r="C81" s="7"/>
      <c r="D81" s="7"/>
      <c r="E81" s="7"/>
      <c r="F81" s="30"/>
      <c r="G81" s="7"/>
      <c r="H81" s="7"/>
      <c r="I81" s="7"/>
      <c r="J81" s="7"/>
      <c r="K81" s="7"/>
      <c r="L81" s="7"/>
      <c r="M81" s="7"/>
      <c r="N81" s="7"/>
      <c r="O81" s="7"/>
      <c r="P81" s="7"/>
      <c r="Q81" s="7"/>
      <c r="R81" s="7"/>
      <c r="S81" s="7"/>
      <c r="T81" s="7"/>
      <c r="U81" s="4"/>
      <c r="V81" s="4"/>
      <c r="W81" s="4"/>
      <c r="X81" s="4"/>
      <c r="Y81" s="4"/>
      <c r="Z81" s="4"/>
    </row>
    <row r="82" spans="1:26" ht="15.75" customHeight="1">
      <c r="A82" s="7"/>
      <c r="B82" s="7"/>
      <c r="C82" s="7"/>
      <c r="D82" s="7"/>
      <c r="E82" s="7"/>
      <c r="F82" s="30"/>
      <c r="G82" s="7"/>
      <c r="H82" s="7"/>
      <c r="I82" s="7"/>
      <c r="J82" s="7"/>
      <c r="K82" s="7"/>
      <c r="L82" s="7"/>
      <c r="M82" s="7"/>
      <c r="N82" s="7"/>
      <c r="O82" s="7"/>
      <c r="P82" s="7"/>
      <c r="Q82" s="7"/>
      <c r="R82" s="7"/>
      <c r="S82" s="7"/>
      <c r="T82" s="7"/>
      <c r="U82" s="4"/>
      <c r="V82" s="4"/>
      <c r="W82" s="4"/>
      <c r="X82" s="4"/>
      <c r="Y82" s="4"/>
      <c r="Z82" s="4"/>
    </row>
    <row r="83" spans="1:26" ht="15.75" customHeight="1">
      <c r="A83" s="7"/>
      <c r="B83" s="7"/>
      <c r="C83" s="7"/>
      <c r="D83" s="7"/>
      <c r="E83" s="7"/>
      <c r="F83" s="30"/>
      <c r="G83" s="7"/>
      <c r="H83" s="7"/>
      <c r="I83" s="7"/>
      <c r="J83" s="7"/>
      <c r="K83" s="7"/>
      <c r="L83" s="7"/>
      <c r="M83" s="7"/>
      <c r="N83" s="7"/>
      <c r="O83" s="7"/>
      <c r="P83" s="7"/>
      <c r="Q83" s="7"/>
      <c r="R83" s="7"/>
      <c r="S83" s="7"/>
      <c r="T83" s="7"/>
      <c r="U83" s="4"/>
      <c r="V83" s="4"/>
      <c r="W83" s="4"/>
      <c r="X83" s="4"/>
      <c r="Y83" s="4"/>
      <c r="Z83" s="4"/>
    </row>
    <row r="84" spans="1:26" ht="15.75" customHeight="1">
      <c r="A84" s="7"/>
      <c r="B84" s="7"/>
      <c r="C84" s="7"/>
      <c r="D84" s="7"/>
      <c r="E84" s="7"/>
      <c r="F84" s="30"/>
      <c r="G84" s="7"/>
      <c r="H84" s="7"/>
      <c r="I84" s="7"/>
      <c r="J84" s="7"/>
      <c r="K84" s="7"/>
      <c r="L84" s="7"/>
      <c r="M84" s="7"/>
      <c r="N84" s="7"/>
      <c r="O84" s="7"/>
      <c r="P84" s="7"/>
      <c r="Q84" s="7"/>
      <c r="R84" s="7"/>
      <c r="S84" s="7"/>
      <c r="T84" s="7"/>
      <c r="U84" s="4"/>
      <c r="V84" s="4"/>
      <c r="W84" s="4"/>
      <c r="X84" s="4"/>
      <c r="Y84" s="4"/>
      <c r="Z84" s="4"/>
    </row>
    <row r="85" spans="1:26" ht="15.75" customHeight="1">
      <c r="A85" s="7"/>
      <c r="B85" s="7"/>
      <c r="C85" s="7"/>
      <c r="D85" s="7"/>
      <c r="E85" s="7"/>
      <c r="F85" s="30"/>
      <c r="G85" s="7"/>
      <c r="H85" s="7"/>
      <c r="I85" s="7"/>
      <c r="J85" s="7"/>
      <c r="K85" s="7"/>
      <c r="L85" s="7"/>
      <c r="M85" s="7"/>
      <c r="N85" s="7"/>
      <c r="O85" s="7"/>
      <c r="P85" s="7"/>
      <c r="Q85" s="7"/>
      <c r="R85" s="7"/>
      <c r="S85" s="7"/>
      <c r="T85" s="7"/>
      <c r="U85" s="4"/>
      <c r="V85" s="4"/>
      <c r="W85" s="4"/>
      <c r="X85" s="4"/>
      <c r="Y85" s="4"/>
      <c r="Z85" s="4"/>
    </row>
    <row r="86" spans="1:26" ht="15.75" customHeight="1">
      <c r="A86" s="7"/>
      <c r="B86" s="7"/>
      <c r="C86" s="7"/>
      <c r="D86" s="7"/>
      <c r="E86" s="7"/>
      <c r="F86" s="30"/>
      <c r="G86" s="7"/>
      <c r="H86" s="7"/>
      <c r="I86" s="7"/>
      <c r="J86" s="7"/>
      <c r="K86" s="7"/>
      <c r="L86" s="7"/>
      <c r="M86" s="7"/>
      <c r="N86" s="7"/>
      <c r="O86" s="7"/>
      <c r="P86" s="7"/>
      <c r="Q86" s="7"/>
      <c r="R86" s="7"/>
      <c r="S86" s="7"/>
      <c r="T86" s="7"/>
      <c r="U86" s="4"/>
      <c r="V86" s="4"/>
      <c r="W86" s="4"/>
      <c r="X86" s="4"/>
      <c r="Y86" s="4"/>
      <c r="Z86" s="4"/>
    </row>
    <row r="87" spans="1:26" ht="15.75" customHeight="1">
      <c r="A87" s="7"/>
      <c r="B87" s="7"/>
      <c r="C87" s="7"/>
      <c r="D87" s="7"/>
      <c r="E87" s="7"/>
      <c r="F87" s="30"/>
      <c r="G87" s="7"/>
      <c r="H87" s="7"/>
      <c r="I87" s="7"/>
      <c r="J87" s="7"/>
      <c r="K87" s="7"/>
      <c r="L87" s="7"/>
      <c r="M87" s="7"/>
      <c r="N87" s="7"/>
      <c r="O87" s="7"/>
      <c r="P87" s="7"/>
      <c r="Q87" s="7"/>
      <c r="R87" s="7"/>
      <c r="S87" s="7"/>
      <c r="T87" s="7"/>
      <c r="U87" s="4"/>
      <c r="V87" s="4"/>
      <c r="W87" s="4"/>
      <c r="X87" s="4"/>
      <c r="Y87" s="4"/>
      <c r="Z87" s="4"/>
    </row>
    <row r="88" spans="1:26" ht="15.75" customHeight="1">
      <c r="A88" s="7"/>
      <c r="B88" s="7"/>
      <c r="C88" s="7"/>
      <c r="D88" s="7"/>
      <c r="E88" s="7"/>
      <c r="F88" s="30"/>
      <c r="G88" s="7"/>
      <c r="H88" s="7"/>
      <c r="I88" s="7"/>
      <c r="J88" s="7"/>
      <c r="K88" s="7"/>
      <c r="L88" s="7"/>
      <c r="M88" s="7"/>
      <c r="N88" s="7"/>
      <c r="O88" s="7"/>
      <c r="P88" s="7"/>
      <c r="Q88" s="7"/>
      <c r="R88" s="7"/>
      <c r="S88" s="7"/>
      <c r="T88" s="7"/>
      <c r="U88" s="4"/>
      <c r="V88" s="4"/>
      <c r="W88" s="4"/>
      <c r="X88" s="4"/>
      <c r="Y88" s="4"/>
      <c r="Z88" s="4"/>
    </row>
    <row r="89" spans="1:26" ht="15.75" customHeight="1">
      <c r="A89" s="7"/>
      <c r="B89" s="7"/>
      <c r="C89" s="7"/>
      <c r="D89" s="7"/>
      <c r="E89" s="7"/>
      <c r="F89" s="30"/>
      <c r="G89" s="7"/>
      <c r="H89" s="7"/>
      <c r="I89" s="7"/>
      <c r="J89" s="7"/>
      <c r="K89" s="7"/>
      <c r="L89" s="7"/>
      <c r="M89" s="7"/>
      <c r="N89" s="7"/>
      <c r="O89" s="7"/>
      <c r="P89" s="7"/>
      <c r="Q89" s="7"/>
      <c r="R89" s="7"/>
      <c r="S89" s="7"/>
      <c r="T89" s="7"/>
      <c r="U89" s="4"/>
      <c r="V89" s="4"/>
      <c r="W89" s="4"/>
      <c r="X89" s="4"/>
      <c r="Y89" s="4"/>
      <c r="Z89" s="4"/>
    </row>
    <row r="90" spans="1:26" ht="15.75" customHeight="1">
      <c r="A90" s="7"/>
      <c r="B90" s="7"/>
      <c r="C90" s="7"/>
      <c r="D90" s="7"/>
      <c r="E90" s="7"/>
      <c r="F90" s="30"/>
      <c r="G90" s="7"/>
      <c r="H90" s="7"/>
      <c r="I90" s="7"/>
      <c r="J90" s="7"/>
      <c r="K90" s="7"/>
      <c r="L90" s="7"/>
      <c r="M90" s="7"/>
      <c r="N90" s="7"/>
      <c r="O90" s="7"/>
      <c r="P90" s="7"/>
      <c r="Q90" s="7"/>
      <c r="R90" s="7"/>
      <c r="S90" s="7"/>
      <c r="T90" s="7"/>
      <c r="U90" s="4"/>
      <c r="V90" s="4"/>
      <c r="W90" s="4"/>
      <c r="X90" s="4"/>
      <c r="Y90" s="4"/>
      <c r="Z90" s="4"/>
    </row>
    <row r="91" spans="1:26" ht="15.75" customHeight="1">
      <c r="A91" s="7"/>
      <c r="B91" s="7"/>
      <c r="C91" s="7"/>
      <c r="D91" s="7"/>
      <c r="E91" s="7"/>
      <c r="F91" s="30"/>
      <c r="G91" s="7"/>
      <c r="H91" s="7"/>
      <c r="I91" s="7"/>
      <c r="J91" s="7"/>
      <c r="K91" s="7"/>
      <c r="L91" s="7"/>
      <c r="M91" s="7"/>
      <c r="N91" s="7"/>
      <c r="O91" s="7"/>
      <c r="P91" s="7"/>
      <c r="Q91" s="7"/>
      <c r="R91" s="7"/>
      <c r="S91" s="7"/>
      <c r="T91" s="7"/>
      <c r="U91" s="4"/>
      <c r="V91" s="4"/>
      <c r="W91" s="4"/>
      <c r="X91" s="4"/>
      <c r="Y91" s="4"/>
      <c r="Z91" s="4"/>
    </row>
    <row r="92" spans="1:26" ht="15.75" customHeight="1">
      <c r="A92" s="7"/>
      <c r="B92" s="7"/>
      <c r="C92" s="7"/>
      <c r="D92" s="7"/>
      <c r="E92" s="7"/>
      <c r="F92" s="30"/>
      <c r="G92" s="7"/>
      <c r="H92" s="7"/>
      <c r="I92" s="7"/>
      <c r="J92" s="7"/>
      <c r="K92" s="7"/>
      <c r="L92" s="7"/>
      <c r="M92" s="7"/>
      <c r="N92" s="7"/>
      <c r="O92" s="7"/>
      <c r="P92" s="7"/>
      <c r="Q92" s="7"/>
      <c r="R92" s="7"/>
      <c r="S92" s="7"/>
      <c r="T92" s="7"/>
      <c r="U92" s="4"/>
      <c r="V92" s="4"/>
      <c r="W92" s="4"/>
      <c r="X92" s="4"/>
      <c r="Y92" s="4"/>
      <c r="Z92" s="4"/>
    </row>
    <row r="93" spans="1:26" ht="15.75" customHeight="1">
      <c r="A93" s="7"/>
      <c r="B93" s="7"/>
      <c r="C93" s="7"/>
      <c r="D93" s="7"/>
      <c r="E93" s="7"/>
      <c r="F93" s="30"/>
      <c r="G93" s="7"/>
      <c r="H93" s="7"/>
      <c r="I93" s="7"/>
      <c r="J93" s="7"/>
      <c r="K93" s="7"/>
      <c r="L93" s="7"/>
      <c r="M93" s="7"/>
      <c r="N93" s="7"/>
      <c r="O93" s="7"/>
      <c r="P93" s="7"/>
      <c r="Q93" s="7"/>
      <c r="R93" s="7"/>
      <c r="S93" s="7"/>
      <c r="T93" s="7"/>
      <c r="U93" s="4"/>
      <c r="V93" s="4"/>
      <c r="W93" s="4"/>
      <c r="X93" s="4"/>
      <c r="Y93" s="4"/>
      <c r="Z93" s="4"/>
    </row>
    <row r="94" spans="1:26" ht="15.75" customHeight="1">
      <c r="A94" s="7"/>
      <c r="B94" s="7"/>
      <c r="C94" s="7"/>
      <c r="D94" s="7"/>
      <c r="E94" s="7"/>
      <c r="F94" s="30"/>
      <c r="G94" s="7"/>
      <c r="H94" s="7"/>
      <c r="I94" s="7"/>
      <c r="J94" s="7"/>
      <c r="K94" s="7"/>
      <c r="L94" s="7"/>
      <c r="M94" s="7"/>
      <c r="N94" s="7"/>
      <c r="O94" s="7"/>
      <c r="P94" s="7"/>
      <c r="Q94" s="7"/>
      <c r="R94" s="7"/>
      <c r="S94" s="7"/>
      <c r="T94" s="7"/>
      <c r="U94" s="4"/>
      <c r="V94" s="4"/>
      <c r="W94" s="4"/>
      <c r="X94" s="4"/>
      <c r="Y94" s="4"/>
      <c r="Z94" s="4"/>
    </row>
    <row r="95" spans="1:26" ht="15.75" customHeight="1">
      <c r="A95" s="7"/>
      <c r="B95" s="7"/>
      <c r="C95" s="7"/>
      <c r="D95" s="7"/>
      <c r="E95" s="7"/>
      <c r="F95" s="30"/>
      <c r="G95" s="7"/>
      <c r="H95" s="7"/>
      <c r="I95" s="7"/>
      <c r="J95" s="7"/>
      <c r="K95" s="7"/>
      <c r="L95" s="7"/>
      <c r="M95" s="7"/>
      <c r="N95" s="7"/>
      <c r="O95" s="7"/>
      <c r="P95" s="7"/>
      <c r="Q95" s="7"/>
      <c r="R95" s="7"/>
      <c r="S95" s="7"/>
      <c r="T95" s="7"/>
      <c r="U95" s="4"/>
      <c r="V95" s="4"/>
      <c r="W95" s="4"/>
      <c r="X95" s="4"/>
      <c r="Y95" s="4"/>
      <c r="Z95" s="4"/>
    </row>
    <row r="96" spans="1:26" ht="15.75" customHeight="1">
      <c r="A96" s="7"/>
      <c r="B96" s="7"/>
      <c r="C96" s="7"/>
      <c r="D96" s="7"/>
      <c r="E96" s="7"/>
      <c r="F96" s="30"/>
      <c r="G96" s="7"/>
      <c r="H96" s="7"/>
      <c r="I96" s="7"/>
      <c r="J96" s="7"/>
      <c r="K96" s="7"/>
      <c r="L96" s="7"/>
      <c r="M96" s="7"/>
      <c r="N96" s="7"/>
      <c r="O96" s="7"/>
      <c r="P96" s="7"/>
      <c r="Q96" s="7"/>
      <c r="R96" s="7"/>
      <c r="S96" s="7"/>
      <c r="T96" s="7"/>
      <c r="U96" s="4"/>
      <c r="V96" s="4"/>
      <c r="W96" s="4"/>
      <c r="X96" s="4"/>
      <c r="Y96" s="4"/>
      <c r="Z96" s="4"/>
    </row>
    <row r="97" spans="1:26" ht="15.75" customHeight="1">
      <c r="A97" s="7"/>
      <c r="B97" s="7"/>
      <c r="C97" s="7"/>
      <c r="D97" s="7"/>
      <c r="E97" s="7"/>
      <c r="F97" s="30"/>
      <c r="G97" s="7"/>
      <c r="H97" s="7"/>
      <c r="I97" s="7"/>
      <c r="J97" s="7"/>
      <c r="K97" s="7"/>
      <c r="L97" s="7"/>
      <c r="M97" s="7"/>
      <c r="N97" s="7"/>
      <c r="O97" s="7"/>
      <c r="P97" s="7"/>
      <c r="Q97" s="7"/>
      <c r="R97" s="7"/>
      <c r="S97" s="7"/>
      <c r="T97" s="7"/>
      <c r="U97" s="4"/>
      <c r="V97" s="4"/>
      <c r="W97" s="4"/>
      <c r="X97" s="4"/>
      <c r="Y97" s="4"/>
      <c r="Z97" s="4"/>
    </row>
    <row r="98" spans="1:26" ht="15.75" customHeight="1">
      <c r="A98" s="7"/>
      <c r="B98" s="7"/>
      <c r="C98" s="7"/>
      <c r="D98" s="7"/>
      <c r="E98" s="7"/>
      <c r="F98" s="30"/>
      <c r="G98" s="7"/>
      <c r="H98" s="7"/>
      <c r="I98" s="7"/>
      <c r="J98" s="7"/>
      <c r="K98" s="7"/>
      <c r="L98" s="7"/>
      <c r="M98" s="7"/>
      <c r="N98" s="7"/>
      <c r="O98" s="7"/>
      <c r="P98" s="7"/>
      <c r="Q98" s="7"/>
      <c r="R98" s="7"/>
      <c r="S98" s="7"/>
      <c r="T98" s="7"/>
      <c r="U98" s="4"/>
      <c r="V98" s="4"/>
      <c r="W98" s="4"/>
      <c r="X98" s="4"/>
      <c r="Y98" s="4"/>
      <c r="Z98" s="4"/>
    </row>
    <row r="99" spans="1:26" ht="15.75" customHeight="1">
      <c r="A99" s="7"/>
      <c r="B99" s="7"/>
      <c r="C99" s="7"/>
      <c r="D99" s="7"/>
      <c r="E99" s="7"/>
      <c r="F99" s="30"/>
      <c r="G99" s="7"/>
      <c r="H99" s="7"/>
      <c r="I99" s="7"/>
      <c r="J99" s="7"/>
      <c r="K99" s="7"/>
      <c r="L99" s="7"/>
      <c r="M99" s="7"/>
      <c r="N99" s="7"/>
      <c r="O99" s="7"/>
      <c r="P99" s="7"/>
      <c r="Q99" s="7"/>
      <c r="R99" s="7"/>
      <c r="S99" s="7"/>
      <c r="T99" s="7"/>
      <c r="U99" s="4"/>
      <c r="V99" s="4"/>
      <c r="W99" s="4"/>
      <c r="X99" s="4"/>
      <c r="Y99" s="4"/>
      <c r="Z99" s="4"/>
    </row>
    <row r="100" spans="1:26" ht="15.75" customHeight="1">
      <c r="A100" s="7"/>
      <c r="B100" s="7"/>
      <c r="C100" s="7"/>
      <c r="D100" s="7"/>
      <c r="E100" s="7"/>
      <c r="F100" s="30"/>
      <c r="G100" s="7"/>
      <c r="H100" s="7"/>
      <c r="I100" s="7"/>
      <c r="J100" s="7"/>
      <c r="K100" s="7"/>
      <c r="L100" s="7"/>
      <c r="M100" s="7"/>
      <c r="N100" s="7"/>
      <c r="O100" s="7"/>
      <c r="P100" s="7"/>
      <c r="Q100" s="7"/>
      <c r="R100" s="7"/>
      <c r="S100" s="7"/>
      <c r="T100" s="7"/>
      <c r="U100" s="4"/>
      <c r="V100" s="4"/>
      <c r="W100" s="4"/>
      <c r="X100" s="4"/>
      <c r="Y100" s="4"/>
      <c r="Z100" s="4"/>
    </row>
    <row r="101" spans="1:26" ht="15.75" customHeight="1">
      <c r="A101" s="7"/>
      <c r="B101" s="7"/>
      <c r="C101" s="7"/>
      <c r="D101" s="7"/>
      <c r="E101" s="7"/>
      <c r="F101" s="30"/>
      <c r="G101" s="7"/>
      <c r="H101" s="7"/>
      <c r="I101" s="7"/>
      <c r="J101" s="7"/>
      <c r="K101" s="7"/>
      <c r="L101" s="7"/>
      <c r="M101" s="7"/>
      <c r="N101" s="7"/>
      <c r="O101" s="7"/>
      <c r="P101" s="7"/>
      <c r="Q101" s="7"/>
      <c r="R101" s="7"/>
      <c r="S101" s="7"/>
      <c r="T101" s="7"/>
      <c r="U101" s="4"/>
      <c r="V101" s="4"/>
      <c r="W101" s="4"/>
      <c r="X101" s="4"/>
      <c r="Y101" s="4"/>
      <c r="Z101" s="4"/>
    </row>
    <row r="102" spans="1:26" ht="15.75" customHeight="1">
      <c r="A102" s="7"/>
      <c r="B102" s="7"/>
      <c r="C102" s="7"/>
      <c r="D102" s="7"/>
      <c r="E102" s="7"/>
      <c r="F102" s="30"/>
      <c r="G102" s="7"/>
      <c r="H102" s="7"/>
      <c r="I102" s="7"/>
      <c r="J102" s="7"/>
      <c r="K102" s="7"/>
      <c r="L102" s="7"/>
      <c r="M102" s="7"/>
      <c r="N102" s="7"/>
      <c r="O102" s="7"/>
      <c r="P102" s="7"/>
      <c r="Q102" s="7"/>
      <c r="R102" s="7"/>
      <c r="S102" s="7"/>
      <c r="T102" s="7"/>
      <c r="U102" s="4"/>
      <c r="V102" s="4"/>
      <c r="W102" s="4"/>
      <c r="X102" s="4"/>
      <c r="Y102" s="4"/>
      <c r="Z102" s="4"/>
    </row>
    <row r="103" spans="1:26" ht="15.75" customHeight="1">
      <c r="A103" s="7"/>
      <c r="B103" s="7"/>
      <c r="C103" s="7"/>
      <c r="D103" s="7"/>
      <c r="E103" s="7"/>
      <c r="F103" s="30"/>
      <c r="G103" s="7"/>
      <c r="H103" s="7"/>
      <c r="I103" s="7"/>
      <c r="J103" s="7"/>
      <c r="K103" s="7"/>
      <c r="L103" s="7"/>
      <c r="M103" s="7"/>
      <c r="N103" s="7"/>
      <c r="O103" s="7"/>
      <c r="P103" s="7"/>
      <c r="Q103" s="7"/>
      <c r="R103" s="7"/>
      <c r="S103" s="7"/>
      <c r="T103" s="7"/>
      <c r="U103" s="4"/>
      <c r="V103" s="4"/>
      <c r="W103" s="4"/>
      <c r="X103" s="4"/>
      <c r="Y103" s="4"/>
      <c r="Z103" s="4"/>
    </row>
    <row r="104" spans="1:26" ht="15.75" customHeight="1">
      <c r="A104" s="7"/>
      <c r="B104" s="7"/>
      <c r="C104" s="7"/>
      <c r="D104" s="7"/>
      <c r="E104" s="7"/>
      <c r="F104" s="30"/>
      <c r="G104" s="7"/>
      <c r="H104" s="7"/>
      <c r="I104" s="7"/>
      <c r="J104" s="7"/>
      <c r="K104" s="7"/>
      <c r="L104" s="7"/>
      <c r="M104" s="7"/>
      <c r="N104" s="7"/>
      <c r="O104" s="7"/>
      <c r="P104" s="7"/>
      <c r="Q104" s="7"/>
      <c r="R104" s="7"/>
      <c r="S104" s="7"/>
      <c r="T104" s="7"/>
      <c r="U104" s="4"/>
      <c r="V104" s="4"/>
      <c r="W104" s="4"/>
      <c r="X104" s="4"/>
      <c r="Y104" s="4"/>
      <c r="Z104" s="4"/>
    </row>
    <row r="105" spans="1:26" ht="15.75" customHeight="1">
      <c r="A105" s="7"/>
      <c r="B105" s="7"/>
      <c r="C105" s="7"/>
      <c r="D105" s="7"/>
      <c r="E105" s="7"/>
      <c r="F105" s="30"/>
      <c r="G105" s="7"/>
      <c r="H105" s="7"/>
      <c r="I105" s="7"/>
      <c r="J105" s="7"/>
      <c r="K105" s="7"/>
      <c r="L105" s="7"/>
      <c r="M105" s="7"/>
      <c r="N105" s="7"/>
      <c r="O105" s="7"/>
      <c r="P105" s="7"/>
      <c r="Q105" s="7"/>
      <c r="R105" s="7"/>
      <c r="S105" s="7"/>
      <c r="T105" s="7"/>
      <c r="U105" s="4"/>
      <c r="V105" s="4"/>
      <c r="W105" s="4"/>
      <c r="X105" s="4"/>
      <c r="Y105" s="4"/>
      <c r="Z105" s="4"/>
    </row>
    <row r="106" spans="1:26" ht="15.75" customHeight="1">
      <c r="A106" s="7"/>
      <c r="B106" s="7"/>
      <c r="C106" s="7"/>
      <c r="D106" s="7"/>
      <c r="E106" s="7"/>
      <c r="F106" s="30"/>
      <c r="G106" s="7"/>
      <c r="H106" s="7"/>
      <c r="I106" s="7"/>
      <c r="J106" s="7"/>
      <c r="K106" s="7"/>
      <c r="L106" s="7"/>
      <c r="M106" s="7"/>
      <c r="N106" s="7"/>
      <c r="O106" s="7"/>
      <c r="P106" s="7"/>
      <c r="Q106" s="7"/>
      <c r="R106" s="7"/>
      <c r="S106" s="7"/>
      <c r="T106" s="7"/>
      <c r="U106" s="4"/>
      <c r="V106" s="4"/>
      <c r="W106" s="4"/>
      <c r="X106" s="4"/>
      <c r="Y106" s="4"/>
      <c r="Z106" s="4"/>
    </row>
    <row r="107" spans="1:26" ht="15.75" customHeight="1">
      <c r="A107" s="7"/>
      <c r="B107" s="7"/>
      <c r="C107" s="7"/>
      <c r="D107" s="7"/>
      <c r="E107" s="7"/>
      <c r="F107" s="30"/>
      <c r="G107" s="7"/>
      <c r="H107" s="7"/>
      <c r="I107" s="7"/>
      <c r="J107" s="7"/>
      <c r="K107" s="7"/>
      <c r="L107" s="7"/>
      <c r="M107" s="7"/>
      <c r="N107" s="7"/>
      <c r="O107" s="7"/>
      <c r="P107" s="7"/>
      <c r="Q107" s="7"/>
      <c r="R107" s="7"/>
      <c r="S107" s="7"/>
      <c r="T107" s="7"/>
      <c r="U107" s="4"/>
      <c r="V107" s="4"/>
      <c r="W107" s="4"/>
      <c r="X107" s="4"/>
      <c r="Y107" s="4"/>
      <c r="Z107" s="4"/>
    </row>
    <row r="108" spans="1:26" ht="15.75" customHeight="1">
      <c r="A108" s="7"/>
      <c r="B108" s="7"/>
      <c r="C108" s="7"/>
      <c r="D108" s="7"/>
      <c r="E108" s="7"/>
      <c r="F108" s="30"/>
      <c r="G108" s="7"/>
      <c r="H108" s="7"/>
      <c r="I108" s="7"/>
      <c r="J108" s="7"/>
      <c r="K108" s="7"/>
      <c r="L108" s="7"/>
      <c r="M108" s="7"/>
      <c r="N108" s="7"/>
      <c r="O108" s="7"/>
      <c r="P108" s="7"/>
      <c r="Q108" s="7"/>
      <c r="R108" s="7"/>
      <c r="S108" s="7"/>
      <c r="T108" s="7"/>
      <c r="U108" s="4"/>
      <c r="V108" s="4"/>
      <c r="W108" s="4"/>
      <c r="X108" s="4"/>
      <c r="Y108" s="4"/>
      <c r="Z108" s="4"/>
    </row>
    <row r="109" spans="1:26" ht="15.75" customHeight="1">
      <c r="A109" s="7"/>
      <c r="B109" s="7"/>
      <c r="C109" s="7"/>
      <c r="D109" s="7"/>
      <c r="E109" s="7"/>
      <c r="F109" s="30"/>
      <c r="G109" s="7"/>
      <c r="H109" s="7"/>
      <c r="I109" s="7"/>
      <c r="J109" s="7"/>
      <c r="K109" s="7"/>
      <c r="L109" s="7"/>
      <c r="M109" s="7"/>
      <c r="N109" s="7"/>
      <c r="O109" s="7"/>
      <c r="P109" s="7"/>
      <c r="Q109" s="7"/>
      <c r="R109" s="7"/>
      <c r="S109" s="7"/>
      <c r="T109" s="7"/>
      <c r="U109" s="4"/>
      <c r="V109" s="4"/>
      <c r="W109" s="4"/>
      <c r="X109" s="4"/>
      <c r="Y109" s="4"/>
      <c r="Z109" s="4"/>
    </row>
    <row r="110" spans="1:26" ht="15.75" customHeight="1">
      <c r="A110" s="7"/>
      <c r="B110" s="7"/>
      <c r="C110" s="7"/>
      <c r="D110" s="7"/>
      <c r="E110" s="7"/>
      <c r="F110" s="30"/>
      <c r="G110" s="7"/>
      <c r="H110" s="7"/>
      <c r="I110" s="7"/>
      <c r="J110" s="7"/>
      <c r="K110" s="7"/>
      <c r="L110" s="7"/>
      <c r="M110" s="7"/>
      <c r="N110" s="7"/>
      <c r="O110" s="7"/>
      <c r="P110" s="7"/>
      <c r="Q110" s="7"/>
      <c r="R110" s="7"/>
      <c r="S110" s="7"/>
      <c r="T110" s="7"/>
      <c r="U110" s="4"/>
      <c r="V110" s="4"/>
      <c r="W110" s="4"/>
      <c r="X110" s="4"/>
      <c r="Y110" s="4"/>
      <c r="Z110" s="4"/>
    </row>
    <row r="111" spans="1:26" ht="15.75" customHeight="1">
      <c r="A111" s="7"/>
      <c r="B111" s="7"/>
      <c r="C111" s="7"/>
      <c r="D111" s="7"/>
      <c r="E111" s="7"/>
      <c r="F111" s="30"/>
      <c r="G111" s="7"/>
      <c r="H111" s="7"/>
      <c r="I111" s="7"/>
      <c r="J111" s="7"/>
      <c r="K111" s="7"/>
      <c r="L111" s="7"/>
      <c r="M111" s="7"/>
      <c r="N111" s="7"/>
      <c r="O111" s="7"/>
      <c r="P111" s="7"/>
      <c r="Q111" s="7"/>
      <c r="R111" s="7"/>
      <c r="S111" s="7"/>
      <c r="T111" s="7"/>
      <c r="U111" s="4"/>
      <c r="V111" s="4"/>
      <c r="W111" s="4"/>
      <c r="X111" s="4"/>
      <c r="Y111" s="4"/>
      <c r="Z111" s="4"/>
    </row>
    <row r="112" spans="1:26" ht="15.75" customHeight="1">
      <c r="A112" s="7"/>
      <c r="B112" s="7"/>
      <c r="C112" s="7"/>
      <c r="D112" s="7"/>
      <c r="E112" s="7"/>
      <c r="F112" s="30"/>
      <c r="G112" s="7"/>
      <c r="H112" s="7"/>
      <c r="I112" s="7"/>
      <c r="J112" s="7"/>
      <c r="K112" s="7"/>
      <c r="L112" s="7"/>
      <c r="M112" s="7"/>
      <c r="N112" s="7"/>
      <c r="O112" s="7"/>
      <c r="P112" s="7"/>
      <c r="Q112" s="7"/>
      <c r="R112" s="7"/>
      <c r="S112" s="7"/>
      <c r="T112" s="7"/>
      <c r="U112" s="4"/>
      <c r="V112" s="4"/>
      <c r="W112" s="4"/>
      <c r="X112" s="4"/>
      <c r="Y112" s="4"/>
      <c r="Z112" s="4"/>
    </row>
    <row r="113" spans="1:26" ht="15.75" customHeight="1">
      <c r="A113" s="7"/>
      <c r="B113" s="7"/>
      <c r="C113" s="7"/>
      <c r="D113" s="7"/>
      <c r="E113" s="7"/>
      <c r="F113" s="30"/>
      <c r="G113" s="7"/>
      <c r="H113" s="7"/>
      <c r="I113" s="7"/>
      <c r="J113" s="7"/>
      <c r="K113" s="7"/>
      <c r="L113" s="7"/>
      <c r="M113" s="7"/>
      <c r="N113" s="7"/>
      <c r="O113" s="7"/>
      <c r="P113" s="7"/>
      <c r="Q113" s="7"/>
      <c r="R113" s="7"/>
      <c r="S113" s="7"/>
      <c r="T113" s="7"/>
      <c r="U113" s="4"/>
      <c r="V113" s="4"/>
      <c r="W113" s="4"/>
      <c r="X113" s="4"/>
      <c r="Y113" s="4"/>
      <c r="Z113" s="4"/>
    </row>
    <row r="114" spans="1:26" ht="15.75" customHeight="1">
      <c r="A114" s="7"/>
      <c r="B114" s="7"/>
      <c r="C114" s="7"/>
      <c r="D114" s="7"/>
      <c r="E114" s="7"/>
      <c r="F114" s="30"/>
      <c r="G114" s="7"/>
      <c r="H114" s="7"/>
      <c r="I114" s="7"/>
      <c r="J114" s="7"/>
      <c r="K114" s="7"/>
      <c r="L114" s="7"/>
      <c r="M114" s="7"/>
      <c r="N114" s="7"/>
      <c r="O114" s="7"/>
      <c r="P114" s="7"/>
      <c r="Q114" s="7"/>
      <c r="R114" s="7"/>
      <c r="S114" s="7"/>
      <c r="T114" s="7"/>
      <c r="U114" s="4"/>
      <c r="V114" s="4"/>
      <c r="W114" s="4"/>
      <c r="X114" s="4"/>
      <c r="Y114" s="4"/>
      <c r="Z114" s="4"/>
    </row>
    <row r="115" spans="1:26" ht="15.75" customHeight="1">
      <c r="A115" s="7"/>
      <c r="B115" s="7"/>
      <c r="C115" s="7"/>
      <c r="D115" s="7"/>
      <c r="E115" s="7"/>
      <c r="F115" s="30"/>
      <c r="G115" s="7"/>
      <c r="H115" s="7"/>
      <c r="I115" s="7"/>
      <c r="J115" s="7"/>
      <c r="K115" s="7"/>
      <c r="L115" s="7"/>
      <c r="M115" s="7"/>
      <c r="N115" s="7"/>
      <c r="O115" s="7"/>
      <c r="P115" s="7"/>
      <c r="Q115" s="7"/>
      <c r="R115" s="7"/>
      <c r="S115" s="7"/>
      <c r="T115" s="7"/>
      <c r="U115" s="4"/>
      <c r="V115" s="4"/>
      <c r="W115" s="4"/>
      <c r="X115" s="4"/>
      <c r="Y115" s="4"/>
      <c r="Z115" s="4"/>
    </row>
    <row r="116" spans="1:26" ht="15.75" customHeight="1">
      <c r="A116" s="7"/>
      <c r="B116" s="7"/>
      <c r="C116" s="7"/>
      <c r="D116" s="7"/>
      <c r="E116" s="7"/>
      <c r="F116" s="30"/>
      <c r="G116" s="7"/>
      <c r="H116" s="7"/>
      <c r="I116" s="7"/>
      <c r="J116" s="7"/>
      <c r="K116" s="7"/>
      <c r="L116" s="7"/>
      <c r="M116" s="7"/>
      <c r="N116" s="7"/>
      <c r="O116" s="7"/>
      <c r="P116" s="7"/>
      <c r="Q116" s="7"/>
      <c r="R116" s="7"/>
      <c r="S116" s="7"/>
      <c r="T116" s="7"/>
      <c r="U116" s="4"/>
      <c r="V116" s="4"/>
      <c r="W116" s="4"/>
      <c r="X116" s="4"/>
      <c r="Y116" s="4"/>
      <c r="Z116" s="4"/>
    </row>
    <row r="117" spans="1:26" ht="15.75" customHeight="1">
      <c r="A117" s="7"/>
      <c r="B117" s="7"/>
      <c r="C117" s="7"/>
      <c r="D117" s="7"/>
      <c r="E117" s="7"/>
      <c r="F117" s="30"/>
      <c r="G117" s="7"/>
      <c r="H117" s="7"/>
      <c r="I117" s="7"/>
      <c r="J117" s="7"/>
      <c r="K117" s="7"/>
      <c r="L117" s="7"/>
      <c r="M117" s="7"/>
      <c r="N117" s="7"/>
      <c r="O117" s="7"/>
      <c r="P117" s="7"/>
      <c r="Q117" s="7"/>
      <c r="R117" s="7"/>
      <c r="S117" s="7"/>
      <c r="T117" s="7"/>
      <c r="U117" s="4"/>
      <c r="V117" s="4"/>
      <c r="W117" s="4"/>
      <c r="X117" s="4"/>
      <c r="Y117" s="4"/>
      <c r="Z117" s="4"/>
    </row>
    <row r="118" spans="1:26" ht="15.75" customHeight="1">
      <c r="A118" s="7"/>
      <c r="B118" s="7"/>
      <c r="C118" s="7"/>
      <c r="D118" s="7"/>
      <c r="E118" s="7"/>
      <c r="F118" s="30"/>
      <c r="G118" s="7"/>
      <c r="H118" s="7"/>
      <c r="I118" s="7"/>
      <c r="J118" s="7"/>
      <c r="K118" s="7"/>
      <c r="L118" s="7"/>
      <c r="M118" s="7"/>
      <c r="N118" s="7"/>
      <c r="O118" s="7"/>
      <c r="P118" s="7"/>
      <c r="Q118" s="7"/>
      <c r="R118" s="7"/>
      <c r="S118" s="7"/>
      <c r="T118" s="7"/>
      <c r="U118" s="4"/>
      <c r="V118" s="4"/>
      <c r="W118" s="4"/>
      <c r="X118" s="4"/>
      <c r="Y118" s="4"/>
      <c r="Z118" s="4"/>
    </row>
    <row r="119" spans="1:26" ht="15.75" customHeight="1">
      <c r="A119" s="7"/>
      <c r="B119" s="7"/>
      <c r="C119" s="7"/>
      <c r="D119" s="7"/>
      <c r="E119" s="7"/>
      <c r="F119" s="30"/>
      <c r="G119" s="7"/>
      <c r="H119" s="7"/>
      <c r="I119" s="7"/>
      <c r="J119" s="7"/>
      <c r="K119" s="7"/>
      <c r="L119" s="7"/>
      <c r="M119" s="7"/>
      <c r="N119" s="7"/>
      <c r="O119" s="7"/>
      <c r="P119" s="7"/>
      <c r="Q119" s="7"/>
      <c r="R119" s="7"/>
      <c r="S119" s="7"/>
      <c r="T119" s="7"/>
      <c r="U119" s="4"/>
      <c r="V119" s="4"/>
      <c r="W119" s="4"/>
      <c r="X119" s="4"/>
      <c r="Y119" s="4"/>
      <c r="Z119" s="4"/>
    </row>
    <row r="120" spans="1:26" ht="15.75" customHeight="1">
      <c r="A120" s="7"/>
      <c r="B120" s="7"/>
      <c r="C120" s="7"/>
      <c r="D120" s="7"/>
      <c r="E120" s="7"/>
      <c r="F120" s="30"/>
      <c r="G120" s="7"/>
      <c r="H120" s="7"/>
      <c r="I120" s="7"/>
      <c r="J120" s="7"/>
      <c r="K120" s="7"/>
      <c r="L120" s="7"/>
      <c r="M120" s="7"/>
      <c r="N120" s="7"/>
      <c r="O120" s="7"/>
      <c r="P120" s="7"/>
      <c r="Q120" s="7"/>
      <c r="R120" s="7"/>
      <c r="S120" s="7"/>
      <c r="T120" s="7"/>
      <c r="U120" s="4"/>
      <c r="V120" s="4"/>
      <c r="W120" s="4"/>
      <c r="X120" s="4"/>
      <c r="Y120" s="4"/>
      <c r="Z120" s="4"/>
    </row>
    <row r="121" spans="1:26" ht="15.75" customHeight="1">
      <c r="A121" s="7"/>
      <c r="B121" s="7"/>
      <c r="C121" s="7"/>
      <c r="D121" s="7"/>
      <c r="E121" s="7"/>
      <c r="F121" s="30"/>
      <c r="G121" s="7"/>
      <c r="H121" s="7"/>
      <c r="I121" s="7"/>
      <c r="J121" s="7"/>
      <c r="K121" s="7"/>
      <c r="L121" s="7"/>
      <c r="M121" s="7"/>
      <c r="N121" s="7"/>
      <c r="O121" s="7"/>
      <c r="P121" s="7"/>
      <c r="Q121" s="7"/>
      <c r="R121" s="7"/>
      <c r="S121" s="7"/>
      <c r="T121" s="7"/>
      <c r="U121" s="4"/>
      <c r="V121" s="4"/>
      <c r="W121" s="4"/>
      <c r="X121" s="4"/>
      <c r="Y121" s="4"/>
      <c r="Z121" s="4"/>
    </row>
    <row r="122" spans="1:26" ht="15.75" customHeight="1">
      <c r="A122" s="7"/>
      <c r="B122" s="7"/>
      <c r="C122" s="7"/>
      <c r="D122" s="7"/>
      <c r="E122" s="7"/>
      <c r="F122" s="30"/>
      <c r="G122" s="7"/>
      <c r="H122" s="7"/>
      <c r="I122" s="7"/>
      <c r="J122" s="7"/>
      <c r="K122" s="7"/>
      <c r="L122" s="7"/>
      <c r="M122" s="7"/>
      <c r="N122" s="7"/>
      <c r="O122" s="7"/>
      <c r="P122" s="7"/>
      <c r="Q122" s="7"/>
      <c r="R122" s="7"/>
      <c r="S122" s="7"/>
      <c r="T122" s="7"/>
      <c r="U122" s="4"/>
      <c r="V122" s="4"/>
      <c r="W122" s="4"/>
      <c r="X122" s="4"/>
      <c r="Y122" s="4"/>
      <c r="Z122" s="4"/>
    </row>
    <row r="123" spans="1:26" ht="15.75" customHeight="1">
      <c r="A123" s="7"/>
      <c r="B123" s="7"/>
      <c r="C123" s="7"/>
      <c r="D123" s="7"/>
      <c r="E123" s="7"/>
      <c r="F123" s="30"/>
      <c r="G123" s="7"/>
      <c r="H123" s="7"/>
      <c r="I123" s="7"/>
      <c r="J123" s="7"/>
      <c r="K123" s="7"/>
      <c r="L123" s="7"/>
      <c r="M123" s="7"/>
      <c r="N123" s="7"/>
      <c r="O123" s="7"/>
      <c r="P123" s="7"/>
      <c r="Q123" s="7"/>
      <c r="R123" s="7"/>
      <c r="S123" s="7"/>
      <c r="T123" s="7"/>
      <c r="U123" s="4"/>
      <c r="V123" s="4"/>
      <c r="W123" s="4"/>
      <c r="X123" s="4"/>
      <c r="Y123" s="4"/>
      <c r="Z123" s="4"/>
    </row>
    <row r="124" spans="1:26" ht="15.75" customHeight="1">
      <c r="A124" s="7"/>
      <c r="B124" s="7"/>
      <c r="C124" s="7"/>
      <c r="D124" s="7"/>
      <c r="E124" s="7"/>
      <c r="F124" s="30"/>
      <c r="G124" s="7"/>
      <c r="H124" s="7"/>
      <c r="I124" s="7"/>
      <c r="J124" s="7"/>
      <c r="K124" s="7"/>
      <c r="L124" s="7"/>
      <c r="M124" s="7"/>
      <c r="N124" s="7"/>
      <c r="O124" s="7"/>
      <c r="P124" s="7"/>
      <c r="Q124" s="7"/>
      <c r="R124" s="7"/>
      <c r="S124" s="7"/>
      <c r="T124" s="7"/>
      <c r="U124" s="4"/>
      <c r="V124" s="4"/>
      <c r="W124" s="4"/>
      <c r="X124" s="4"/>
      <c r="Y124" s="4"/>
      <c r="Z124" s="4"/>
    </row>
    <row r="125" spans="1:26" ht="15.75" customHeight="1">
      <c r="A125" s="7"/>
      <c r="B125" s="7"/>
      <c r="C125" s="7"/>
      <c r="D125" s="7"/>
      <c r="E125" s="7"/>
      <c r="F125" s="30"/>
      <c r="G125" s="7"/>
      <c r="H125" s="7"/>
      <c r="I125" s="7"/>
      <c r="J125" s="7"/>
      <c r="K125" s="7"/>
      <c r="L125" s="7"/>
      <c r="M125" s="7"/>
      <c r="N125" s="7"/>
      <c r="O125" s="7"/>
      <c r="P125" s="7"/>
      <c r="Q125" s="7"/>
      <c r="R125" s="7"/>
      <c r="S125" s="7"/>
      <c r="T125" s="7"/>
      <c r="U125" s="4"/>
      <c r="V125" s="4"/>
      <c r="W125" s="4"/>
      <c r="X125" s="4"/>
      <c r="Y125" s="4"/>
      <c r="Z125" s="4"/>
    </row>
    <row r="126" spans="1:26" ht="15.75" customHeight="1">
      <c r="A126" s="7"/>
      <c r="B126" s="7"/>
      <c r="C126" s="7"/>
      <c r="D126" s="7"/>
      <c r="E126" s="7"/>
      <c r="F126" s="30"/>
      <c r="G126" s="7"/>
      <c r="H126" s="7"/>
      <c r="I126" s="7"/>
      <c r="J126" s="7"/>
      <c r="K126" s="7"/>
      <c r="L126" s="7"/>
      <c r="M126" s="7"/>
      <c r="N126" s="7"/>
      <c r="O126" s="7"/>
      <c r="P126" s="7"/>
      <c r="Q126" s="7"/>
      <c r="R126" s="7"/>
      <c r="S126" s="7"/>
      <c r="T126" s="7"/>
      <c r="U126" s="4"/>
      <c r="V126" s="4"/>
      <c r="W126" s="4"/>
      <c r="X126" s="4"/>
      <c r="Y126" s="4"/>
      <c r="Z126" s="4"/>
    </row>
    <row r="127" spans="1:26" ht="15.75" customHeight="1">
      <c r="A127" s="7"/>
      <c r="B127" s="7"/>
      <c r="C127" s="7"/>
      <c r="D127" s="7"/>
      <c r="E127" s="7"/>
      <c r="F127" s="30"/>
      <c r="G127" s="7"/>
      <c r="H127" s="7"/>
      <c r="I127" s="7"/>
      <c r="J127" s="7"/>
      <c r="K127" s="7"/>
      <c r="L127" s="7"/>
      <c r="M127" s="7"/>
      <c r="N127" s="7"/>
      <c r="O127" s="7"/>
      <c r="P127" s="7"/>
      <c r="Q127" s="7"/>
      <c r="R127" s="7"/>
      <c r="S127" s="7"/>
      <c r="T127" s="7"/>
      <c r="U127" s="4"/>
      <c r="V127" s="4"/>
      <c r="W127" s="4"/>
      <c r="X127" s="4"/>
      <c r="Y127" s="4"/>
      <c r="Z127" s="4"/>
    </row>
    <row r="128" spans="1:26" ht="15.75" customHeight="1">
      <c r="A128" s="7"/>
      <c r="B128" s="7"/>
      <c r="C128" s="7"/>
      <c r="D128" s="7"/>
      <c r="E128" s="7"/>
      <c r="F128" s="30"/>
      <c r="G128" s="7"/>
      <c r="H128" s="7"/>
      <c r="I128" s="7"/>
      <c r="J128" s="7"/>
      <c r="K128" s="7"/>
      <c r="L128" s="7"/>
      <c r="M128" s="7"/>
      <c r="N128" s="7"/>
      <c r="O128" s="7"/>
      <c r="P128" s="7"/>
      <c r="Q128" s="7"/>
      <c r="R128" s="7"/>
      <c r="S128" s="7"/>
      <c r="T128" s="7"/>
      <c r="U128" s="4"/>
      <c r="V128" s="4"/>
      <c r="W128" s="4"/>
      <c r="X128" s="4"/>
      <c r="Y128" s="4"/>
      <c r="Z128" s="4"/>
    </row>
    <row r="129" spans="1:26" ht="15.75" customHeight="1">
      <c r="A129" s="7"/>
      <c r="B129" s="7"/>
      <c r="C129" s="7"/>
      <c r="D129" s="7"/>
      <c r="E129" s="7"/>
      <c r="F129" s="30"/>
      <c r="G129" s="7"/>
      <c r="H129" s="7"/>
      <c r="I129" s="7"/>
      <c r="J129" s="7"/>
      <c r="K129" s="7"/>
      <c r="L129" s="7"/>
      <c r="M129" s="7"/>
      <c r="N129" s="7"/>
      <c r="O129" s="7"/>
      <c r="P129" s="7"/>
      <c r="Q129" s="7"/>
      <c r="R129" s="7"/>
      <c r="S129" s="7"/>
      <c r="T129" s="7"/>
      <c r="U129" s="4"/>
      <c r="V129" s="4"/>
      <c r="W129" s="4"/>
      <c r="X129" s="4"/>
      <c r="Y129" s="4"/>
      <c r="Z129" s="4"/>
    </row>
    <row r="130" spans="1:26" ht="15.75" customHeight="1">
      <c r="A130" s="7"/>
      <c r="B130" s="7"/>
      <c r="C130" s="7"/>
      <c r="D130" s="7"/>
      <c r="E130" s="7"/>
      <c r="F130" s="30"/>
      <c r="G130" s="7"/>
      <c r="H130" s="7"/>
      <c r="I130" s="7"/>
      <c r="J130" s="7"/>
      <c r="K130" s="7"/>
      <c r="L130" s="7"/>
      <c r="M130" s="7"/>
      <c r="N130" s="7"/>
      <c r="O130" s="7"/>
      <c r="P130" s="7"/>
      <c r="Q130" s="7"/>
      <c r="R130" s="7"/>
      <c r="S130" s="7"/>
      <c r="T130" s="7"/>
      <c r="U130" s="4"/>
      <c r="V130" s="4"/>
      <c r="W130" s="4"/>
      <c r="X130" s="4"/>
      <c r="Y130" s="4"/>
      <c r="Z130" s="4"/>
    </row>
    <row r="131" spans="1:26" ht="15.75" customHeight="1">
      <c r="A131" s="7"/>
      <c r="B131" s="7"/>
      <c r="C131" s="7"/>
      <c r="D131" s="7"/>
      <c r="E131" s="7"/>
      <c r="F131" s="30"/>
      <c r="G131" s="7"/>
      <c r="H131" s="7"/>
      <c r="I131" s="7"/>
      <c r="J131" s="7"/>
      <c r="K131" s="7"/>
      <c r="L131" s="7"/>
      <c r="M131" s="7"/>
      <c r="N131" s="7"/>
      <c r="O131" s="7"/>
      <c r="P131" s="7"/>
      <c r="Q131" s="7"/>
      <c r="R131" s="7"/>
      <c r="S131" s="7"/>
      <c r="T131" s="7"/>
      <c r="U131" s="4"/>
      <c r="V131" s="4"/>
      <c r="W131" s="4"/>
      <c r="X131" s="4"/>
      <c r="Y131" s="4"/>
      <c r="Z131" s="4"/>
    </row>
    <row r="132" spans="1:26" ht="15.75" customHeight="1">
      <c r="A132" s="7"/>
      <c r="B132" s="7"/>
      <c r="C132" s="7"/>
      <c r="D132" s="7"/>
      <c r="E132" s="7"/>
      <c r="F132" s="30"/>
      <c r="G132" s="7"/>
      <c r="H132" s="7"/>
      <c r="I132" s="7"/>
      <c r="J132" s="7"/>
      <c r="K132" s="7"/>
      <c r="L132" s="7"/>
      <c r="M132" s="7"/>
      <c r="N132" s="7"/>
      <c r="O132" s="7"/>
      <c r="P132" s="7"/>
      <c r="Q132" s="7"/>
      <c r="R132" s="7"/>
      <c r="S132" s="7"/>
      <c r="T132" s="7"/>
      <c r="U132" s="4"/>
      <c r="V132" s="4"/>
      <c r="W132" s="4"/>
      <c r="X132" s="4"/>
      <c r="Y132" s="4"/>
      <c r="Z132" s="4"/>
    </row>
    <row r="133" spans="1:26" ht="15.75" customHeight="1">
      <c r="A133" s="7"/>
      <c r="B133" s="7"/>
      <c r="C133" s="7"/>
      <c r="D133" s="7"/>
      <c r="E133" s="7"/>
      <c r="F133" s="30"/>
      <c r="G133" s="7"/>
      <c r="H133" s="7"/>
      <c r="I133" s="7"/>
      <c r="J133" s="7"/>
      <c r="K133" s="7"/>
      <c r="L133" s="7"/>
      <c r="M133" s="7"/>
      <c r="N133" s="7"/>
      <c r="O133" s="7"/>
      <c r="P133" s="7"/>
      <c r="Q133" s="7"/>
      <c r="R133" s="7"/>
      <c r="S133" s="7"/>
      <c r="T133" s="7"/>
      <c r="U133" s="4"/>
      <c r="V133" s="4"/>
      <c r="W133" s="4"/>
      <c r="X133" s="4"/>
      <c r="Y133" s="4"/>
      <c r="Z133" s="4"/>
    </row>
    <row r="134" spans="1:26" ht="15.75" customHeight="1">
      <c r="A134" s="7"/>
      <c r="B134" s="7"/>
      <c r="C134" s="7"/>
      <c r="D134" s="7"/>
      <c r="E134" s="7"/>
      <c r="F134" s="30"/>
      <c r="G134" s="7"/>
      <c r="H134" s="7"/>
      <c r="I134" s="7"/>
      <c r="J134" s="7"/>
      <c r="K134" s="7"/>
      <c r="L134" s="7"/>
      <c r="M134" s="7"/>
      <c r="N134" s="7"/>
      <c r="O134" s="7"/>
      <c r="P134" s="7"/>
      <c r="Q134" s="7"/>
      <c r="R134" s="7"/>
      <c r="S134" s="7"/>
      <c r="T134" s="7"/>
      <c r="U134" s="4"/>
      <c r="V134" s="4"/>
      <c r="W134" s="4"/>
      <c r="X134" s="4"/>
      <c r="Y134" s="4"/>
      <c r="Z134" s="4"/>
    </row>
    <row r="135" spans="1:26" ht="15.75" customHeight="1">
      <c r="A135" s="7"/>
      <c r="B135" s="7"/>
      <c r="C135" s="7"/>
      <c r="D135" s="7"/>
      <c r="E135" s="7"/>
      <c r="F135" s="30"/>
      <c r="G135" s="7"/>
      <c r="H135" s="7"/>
      <c r="I135" s="7"/>
      <c r="J135" s="7"/>
      <c r="K135" s="7"/>
      <c r="L135" s="7"/>
      <c r="M135" s="7"/>
      <c r="N135" s="7"/>
      <c r="O135" s="7"/>
      <c r="P135" s="7"/>
      <c r="Q135" s="7"/>
      <c r="R135" s="7"/>
      <c r="S135" s="7"/>
      <c r="T135" s="7"/>
      <c r="U135" s="4"/>
      <c r="V135" s="4"/>
      <c r="W135" s="4"/>
      <c r="X135" s="4"/>
      <c r="Y135" s="4"/>
      <c r="Z135" s="4"/>
    </row>
    <row r="136" spans="1:26" ht="15.75" customHeight="1">
      <c r="A136" s="7"/>
      <c r="B136" s="7"/>
      <c r="C136" s="7"/>
      <c r="D136" s="7"/>
      <c r="E136" s="7"/>
      <c r="F136" s="30"/>
      <c r="G136" s="7"/>
      <c r="H136" s="7"/>
      <c r="I136" s="7"/>
      <c r="J136" s="7"/>
      <c r="K136" s="7"/>
      <c r="L136" s="7"/>
      <c r="M136" s="7"/>
      <c r="N136" s="7"/>
      <c r="O136" s="7"/>
      <c r="P136" s="7"/>
      <c r="Q136" s="7"/>
      <c r="R136" s="7"/>
      <c r="S136" s="7"/>
      <c r="T136" s="7"/>
      <c r="U136" s="4"/>
      <c r="V136" s="4"/>
      <c r="W136" s="4"/>
      <c r="X136" s="4"/>
      <c r="Y136" s="4"/>
      <c r="Z136" s="4"/>
    </row>
    <row r="137" spans="1:26" ht="15.75" customHeight="1">
      <c r="A137" s="7"/>
      <c r="B137" s="7"/>
      <c r="C137" s="7"/>
      <c r="D137" s="7"/>
      <c r="E137" s="7"/>
      <c r="F137" s="30"/>
      <c r="G137" s="7"/>
      <c r="H137" s="7"/>
      <c r="I137" s="7"/>
      <c r="J137" s="7"/>
      <c r="K137" s="7"/>
      <c r="L137" s="7"/>
      <c r="M137" s="7"/>
      <c r="N137" s="7"/>
      <c r="O137" s="7"/>
      <c r="P137" s="7"/>
      <c r="Q137" s="7"/>
      <c r="R137" s="7"/>
      <c r="S137" s="7"/>
      <c r="T137" s="7"/>
      <c r="U137" s="4"/>
      <c r="V137" s="4"/>
      <c r="W137" s="4"/>
      <c r="X137" s="4"/>
      <c r="Y137" s="4"/>
      <c r="Z137" s="4"/>
    </row>
    <row r="138" spans="1:26" ht="15.75" customHeight="1">
      <c r="A138" s="7"/>
      <c r="B138" s="7"/>
      <c r="C138" s="7"/>
      <c r="D138" s="7"/>
      <c r="E138" s="7"/>
      <c r="F138" s="30"/>
      <c r="G138" s="7"/>
      <c r="H138" s="7"/>
      <c r="I138" s="7"/>
      <c r="J138" s="7"/>
      <c r="K138" s="7"/>
      <c r="L138" s="7"/>
      <c r="M138" s="7"/>
      <c r="N138" s="7"/>
      <c r="O138" s="7"/>
      <c r="P138" s="7"/>
      <c r="Q138" s="7"/>
      <c r="R138" s="7"/>
      <c r="S138" s="7"/>
      <c r="T138" s="7"/>
      <c r="U138" s="4"/>
      <c r="V138" s="4"/>
      <c r="W138" s="4"/>
      <c r="X138" s="4"/>
      <c r="Y138" s="4"/>
      <c r="Z138" s="4"/>
    </row>
    <row r="139" spans="1:26" ht="15.75" customHeight="1">
      <c r="A139" s="7"/>
      <c r="B139" s="7"/>
      <c r="C139" s="7"/>
      <c r="D139" s="7"/>
      <c r="E139" s="7"/>
      <c r="F139" s="30"/>
      <c r="G139" s="7"/>
      <c r="H139" s="7"/>
      <c r="I139" s="7"/>
      <c r="J139" s="7"/>
      <c r="K139" s="7"/>
      <c r="L139" s="7"/>
      <c r="M139" s="7"/>
      <c r="N139" s="7"/>
      <c r="O139" s="7"/>
      <c r="P139" s="7"/>
      <c r="Q139" s="7"/>
      <c r="R139" s="7"/>
      <c r="S139" s="7"/>
      <c r="T139" s="7"/>
      <c r="U139" s="4"/>
      <c r="V139" s="4"/>
      <c r="W139" s="4"/>
      <c r="X139" s="4"/>
      <c r="Y139" s="4"/>
      <c r="Z139" s="4"/>
    </row>
    <row r="140" spans="1:26" ht="15.75" customHeight="1">
      <c r="A140" s="7"/>
      <c r="B140" s="7"/>
      <c r="C140" s="7"/>
      <c r="D140" s="7"/>
      <c r="E140" s="7"/>
      <c r="F140" s="30"/>
      <c r="G140" s="7"/>
      <c r="H140" s="7"/>
      <c r="I140" s="7"/>
      <c r="J140" s="7"/>
      <c r="K140" s="7"/>
      <c r="L140" s="7"/>
      <c r="M140" s="7"/>
      <c r="N140" s="7"/>
      <c r="O140" s="7"/>
      <c r="P140" s="7"/>
      <c r="Q140" s="7"/>
      <c r="R140" s="7"/>
      <c r="S140" s="7"/>
      <c r="T140" s="7"/>
      <c r="U140" s="4"/>
      <c r="V140" s="4"/>
      <c r="W140" s="4"/>
      <c r="X140" s="4"/>
      <c r="Y140" s="4"/>
      <c r="Z140" s="4"/>
    </row>
    <row r="141" spans="1:26" ht="15.75" customHeight="1">
      <c r="A141" s="7"/>
      <c r="B141" s="7"/>
      <c r="C141" s="7"/>
      <c r="D141" s="7"/>
      <c r="E141" s="7"/>
      <c r="F141" s="30"/>
      <c r="G141" s="7"/>
      <c r="H141" s="7"/>
      <c r="I141" s="7"/>
      <c r="J141" s="7"/>
      <c r="K141" s="7"/>
      <c r="L141" s="7"/>
      <c r="M141" s="7"/>
      <c r="N141" s="7"/>
      <c r="O141" s="7"/>
      <c r="P141" s="7"/>
      <c r="Q141" s="7"/>
      <c r="R141" s="7"/>
      <c r="S141" s="7"/>
      <c r="T141" s="7"/>
      <c r="U141" s="4"/>
      <c r="V141" s="4"/>
      <c r="W141" s="4"/>
      <c r="X141" s="4"/>
      <c r="Y141" s="4"/>
      <c r="Z141" s="4"/>
    </row>
    <row r="142" spans="1:26" ht="15.75" customHeight="1">
      <c r="A142" s="7"/>
      <c r="B142" s="7"/>
      <c r="C142" s="7"/>
      <c r="D142" s="7"/>
      <c r="E142" s="7"/>
      <c r="F142" s="30"/>
      <c r="G142" s="7"/>
      <c r="H142" s="7"/>
      <c r="I142" s="7"/>
      <c r="J142" s="7"/>
      <c r="K142" s="7"/>
      <c r="L142" s="7"/>
      <c r="M142" s="7"/>
      <c r="N142" s="7"/>
      <c r="O142" s="7"/>
      <c r="P142" s="7"/>
      <c r="Q142" s="7"/>
      <c r="R142" s="7"/>
      <c r="S142" s="7"/>
      <c r="T142" s="7"/>
      <c r="U142" s="4"/>
      <c r="V142" s="4"/>
      <c r="W142" s="4"/>
      <c r="X142" s="4"/>
      <c r="Y142" s="4"/>
      <c r="Z142" s="4"/>
    </row>
    <row r="143" spans="1:26" ht="15.75" customHeight="1">
      <c r="A143" s="7"/>
      <c r="B143" s="7"/>
      <c r="C143" s="7"/>
      <c r="D143" s="7"/>
      <c r="E143" s="7"/>
      <c r="F143" s="30"/>
      <c r="G143" s="7"/>
      <c r="H143" s="7"/>
      <c r="I143" s="7"/>
      <c r="J143" s="7"/>
      <c r="K143" s="7"/>
      <c r="L143" s="7"/>
      <c r="M143" s="7"/>
      <c r="N143" s="7"/>
      <c r="O143" s="7"/>
      <c r="P143" s="7"/>
      <c r="Q143" s="7"/>
      <c r="R143" s="7"/>
      <c r="S143" s="7"/>
      <c r="T143" s="7"/>
      <c r="U143" s="4"/>
      <c r="V143" s="4"/>
      <c r="W143" s="4"/>
      <c r="X143" s="4"/>
      <c r="Y143" s="4"/>
      <c r="Z143" s="4"/>
    </row>
    <row r="144" spans="1:26" ht="15.75" customHeight="1">
      <c r="A144" s="7"/>
      <c r="B144" s="7"/>
      <c r="C144" s="7"/>
      <c r="D144" s="7"/>
      <c r="E144" s="7"/>
      <c r="F144" s="30"/>
      <c r="G144" s="7"/>
      <c r="H144" s="7"/>
      <c r="I144" s="7"/>
      <c r="J144" s="7"/>
      <c r="K144" s="7"/>
      <c r="L144" s="7"/>
      <c r="M144" s="7"/>
      <c r="N144" s="7"/>
      <c r="O144" s="7"/>
      <c r="P144" s="7"/>
      <c r="Q144" s="7"/>
      <c r="R144" s="7"/>
      <c r="S144" s="7"/>
      <c r="T144" s="7"/>
      <c r="U144" s="4"/>
      <c r="V144" s="4"/>
      <c r="W144" s="4"/>
      <c r="X144" s="4"/>
      <c r="Y144" s="4"/>
      <c r="Z144" s="4"/>
    </row>
    <row r="145" spans="1:26" ht="15.75" customHeight="1">
      <c r="A145" s="7"/>
      <c r="B145" s="7"/>
      <c r="C145" s="7"/>
      <c r="D145" s="7"/>
      <c r="E145" s="7"/>
      <c r="F145" s="30"/>
      <c r="G145" s="7"/>
      <c r="H145" s="7"/>
      <c r="I145" s="7"/>
      <c r="J145" s="7"/>
      <c r="K145" s="7"/>
      <c r="L145" s="7"/>
      <c r="M145" s="7"/>
      <c r="N145" s="7"/>
      <c r="O145" s="7"/>
      <c r="P145" s="7"/>
      <c r="Q145" s="7"/>
      <c r="R145" s="7"/>
      <c r="S145" s="7"/>
      <c r="T145" s="7"/>
      <c r="U145" s="4"/>
      <c r="V145" s="4"/>
      <c r="W145" s="4"/>
      <c r="X145" s="4"/>
      <c r="Y145" s="4"/>
      <c r="Z145" s="4"/>
    </row>
    <row r="146" spans="1:26" ht="15.75" customHeight="1">
      <c r="A146" s="7"/>
      <c r="B146" s="7"/>
      <c r="C146" s="7"/>
      <c r="D146" s="7"/>
      <c r="E146" s="7"/>
      <c r="F146" s="30"/>
      <c r="G146" s="7"/>
      <c r="H146" s="7"/>
      <c r="I146" s="7"/>
      <c r="J146" s="7"/>
      <c r="K146" s="7"/>
      <c r="L146" s="7"/>
      <c r="M146" s="7"/>
      <c r="N146" s="7"/>
      <c r="O146" s="7"/>
      <c r="P146" s="7"/>
      <c r="Q146" s="7"/>
      <c r="R146" s="7"/>
      <c r="S146" s="7"/>
      <c r="T146" s="7"/>
      <c r="U146" s="4"/>
      <c r="V146" s="4"/>
      <c r="W146" s="4"/>
      <c r="X146" s="4"/>
      <c r="Y146" s="4"/>
      <c r="Z146" s="4"/>
    </row>
    <row r="147" spans="1:26" ht="15.75" customHeight="1">
      <c r="A147" s="7"/>
      <c r="B147" s="7"/>
      <c r="C147" s="7"/>
      <c r="D147" s="7"/>
      <c r="E147" s="7"/>
      <c r="F147" s="30"/>
      <c r="G147" s="7"/>
      <c r="H147" s="7"/>
      <c r="I147" s="7"/>
      <c r="J147" s="7"/>
      <c r="K147" s="7"/>
      <c r="L147" s="7"/>
      <c r="M147" s="7"/>
      <c r="N147" s="7"/>
      <c r="O147" s="7"/>
      <c r="P147" s="7"/>
      <c r="Q147" s="7"/>
      <c r="R147" s="7"/>
      <c r="S147" s="7"/>
      <c r="T147" s="7"/>
      <c r="U147" s="4"/>
      <c r="V147" s="4"/>
      <c r="W147" s="4"/>
      <c r="X147" s="4"/>
      <c r="Y147" s="4"/>
      <c r="Z147" s="4"/>
    </row>
    <row r="148" spans="1:26" ht="15.75" customHeight="1">
      <c r="A148" s="7"/>
      <c r="B148" s="7"/>
      <c r="C148" s="7"/>
      <c r="D148" s="7"/>
      <c r="E148" s="7"/>
      <c r="F148" s="30"/>
      <c r="G148" s="7"/>
      <c r="H148" s="7"/>
      <c r="I148" s="7"/>
      <c r="J148" s="7"/>
      <c r="K148" s="7"/>
      <c r="L148" s="7"/>
      <c r="M148" s="7"/>
      <c r="N148" s="7"/>
      <c r="O148" s="7"/>
      <c r="P148" s="7"/>
      <c r="Q148" s="7"/>
      <c r="R148" s="7"/>
      <c r="S148" s="7"/>
      <c r="T148" s="7"/>
      <c r="U148" s="4"/>
      <c r="V148" s="4"/>
      <c r="W148" s="4"/>
      <c r="X148" s="4"/>
      <c r="Y148" s="4"/>
      <c r="Z148" s="4"/>
    </row>
    <row r="149" spans="1:26" ht="15.75" customHeight="1">
      <c r="A149" s="7"/>
      <c r="B149" s="7"/>
      <c r="C149" s="7"/>
      <c r="D149" s="7"/>
      <c r="E149" s="7"/>
      <c r="F149" s="30"/>
      <c r="G149" s="7"/>
      <c r="H149" s="7"/>
      <c r="I149" s="7"/>
      <c r="J149" s="7"/>
      <c r="K149" s="7"/>
      <c r="L149" s="7"/>
      <c r="M149" s="7"/>
      <c r="N149" s="7"/>
      <c r="O149" s="7"/>
      <c r="P149" s="7"/>
      <c r="Q149" s="7"/>
      <c r="R149" s="7"/>
      <c r="S149" s="7"/>
      <c r="T149" s="7"/>
      <c r="U149" s="4"/>
      <c r="V149" s="4"/>
      <c r="W149" s="4"/>
      <c r="X149" s="4"/>
      <c r="Y149" s="4"/>
      <c r="Z149" s="4"/>
    </row>
    <row r="150" spans="1:26" ht="15.75" customHeight="1">
      <c r="A150" s="7"/>
      <c r="B150" s="7"/>
      <c r="C150" s="7"/>
      <c r="D150" s="7"/>
      <c r="E150" s="7"/>
      <c r="F150" s="30"/>
      <c r="G150" s="7"/>
      <c r="H150" s="7"/>
      <c r="I150" s="7"/>
      <c r="J150" s="7"/>
      <c r="K150" s="7"/>
      <c r="L150" s="7"/>
      <c r="M150" s="7"/>
      <c r="N150" s="7"/>
      <c r="O150" s="7"/>
      <c r="P150" s="7"/>
      <c r="Q150" s="7"/>
      <c r="R150" s="7"/>
      <c r="S150" s="7"/>
      <c r="T150" s="7"/>
      <c r="U150" s="4"/>
      <c r="V150" s="4"/>
      <c r="W150" s="4"/>
      <c r="X150" s="4"/>
      <c r="Y150" s="4"/>
      <c r="Z150" s="4"/>
    </row>
    <row r="151" spans="1:26" ht="15.75" customHeight="1">
      <c r="A151" s="7"/>
      <c r="B151" s="7"/>
      <c r="C151" s="7"/>
      <c r="D151" s="7"/>
      <c r="E151" s="7"/>
      <c r="F151" s="30"/>
      <c r="G151" s="7"/>
      <c r="H151" s="7"/>
      <c r="I151" s="7"/>
      <c r="J151" s="7"/>
      <c r="K151" s="7"/>
      <c r="L151" s="7"/>
      <c r="M151" s="7"/>
      <c r="N151" s="7"/>
      <c r="O151" s="7"/>
      <c r="P151" s="7"/>
      <c r="Q151" s="7"/>
      <c r="R151" s="7"/>
      <c r="S151" s="7"/>
      <c r="T151" s="7"/>
      <c r="U151" s="4"/>
      <c r="V151" s="4"/>
      <c r="W151" s="4"/>
      <c r="X151" s="4"/>
      <c r="Y151" s="4"/>
      <c r="Z151" s="4"/>
    </row>
    <row r="152" spans="1:26" ht="15.75" customHeight="1">
      <c r="A152" s="7"/>
      <c r="B152" s="7"/>
      <c r="C152" s="7"/>
      <c r="D152" s="7"/>
      <c r="E152" s="7"/>
      <c r="F152" s="30"/>
      <c r="G152" s="7"/>
      <c r="H152" s="7"/>
      <c r="I152" s="7"/>
      <c r="J152" s="7"/>
      <c r="K152" s="7"/>
      <c r="L152" s="7"/>
      <c r="M152" s="7"/>
      <c r="N152" s="7"/>
      <c r="O152" s="7"/>
      <c r="P152" s="7"/>
      <c r="Q152" s="7"/>
      <c r="R152" s="7"/>
      <c r="S152" s="7"/>
      <c r="T152" s="7"/>
      <c r="U152" s="4"/>
      <c r="V152" s="4"/>
      <c r="W152" s="4"/>
      <c r="X152" s="4"/>
      <c r="Y152" s="4"/>
      <c r="Z152" s="4"/>
    </row>
    <row r="153" spans="1:26" ht="15.75" customHeight="1">
      <c r="A153" s="7"/>
      <c r="B153" s="7"/>
      <c r="C153" s="7"/>
      <c r="D153" s="7"/>
      <c r="E153" s="7"/>
      <c r="F153" s="30"/>
      <c r="G153" s="7"/>
      <c r="H153" s="7"/>
      <c r="I153" s="7"/>
      <c r="J153" s="7"/>
      <c r="K153" s="7"/>
      <c r="L153" s="7"/>
      <c r="M153" s="7"/>
      <c r="N153" s="7"/>
      <c r="O153" s="7"/>
      <c r="P153" s="7"/>
      <c r="Q153" s="7"/>
      <c r="R153" s="7"/>
      <c r="S153" s="7"/>
      <c r="T153" s="7"/>
      <c r="U153" s="4"/>
      <c r="V153" s="4"/>
      <c r="W153" s="4"/>
      <c r="X153" s="4"/>
      <c r="Y153" s="4"/>
      <c r="Z153" s="4"/>
    </row>
    <row r="154" spans="1:26" ht="15.75" customHeight="1">
      <c r="A154" s="7"/>
      <c r="B154" s="7"/>
      <c r="C154" s="7"/>
      <c r="D154" s="7"/>
      <c r="E154" s="7"/>
      <c r="F154" s="30"/>
      <c r="G154" s="7"/>
      <c r="H154" s="7"/>
      <c r="I154" s="7"/>
      <c r="J154" s="7"/>
      <c r="K154" s="7"/>
      <c r="L154" s="7"/>
      <c r="M154" s="7"/>
      <c r="N154" s="7"/>
      <c r="O154" s="7"/>
      <c r="P154" s="7"/>
      <c r="Q154" s="7"/>
      <c r="R154" s="7"/>
      <c r="S154" s="7"/>
      <c r="T154" s="7"/>
      <c r="U154" s="4"/>
      <c r="V154" s="4"/>
      <c r="W154" s="4"/>
      <c r="X154" s="4"/>
      <c r="Y154" s="4"/>
      <c r="Z154" s="4"/>
    </row>
    <row r="155" spans="1:26" ht="15.75" customHeight="1">
      <c r="A155" s="7"/>
      <c r="B155" s="7"/>
      <c r="C155" s="7"/>
      <c r="D155" s="7"/>
      <c r="E155" s="7"/>
      <c r="F155" s="30"/>
      <c r="G155" s="7"/>
      <c r="H155" s="7"/>
      <c r="I155" s="7"/>
      <c r="J155" s="7"/>
      <c r="K155" s="7"/>
      <c r="L155" s="7"/>
      <c r="M155" s="7"/>
      <c r="N155" s="7"/>
      <c r="O155" s="7"/>
      <c r="P155" s="7"/>
      <c r="Q155" s="7"/>
      <c r="R155" s="7"/>
      <c r="S155" s="7"/>
      <c r="T155" s="7"/>
      <c r="U155" s="4"/>
      <c r="V155" s="4"/>
      <c r="W155" s="4"/>
      <c r="X155" s="4"/>
      <c r="Y155" s="4"/>
      <c r="Z155" s="4"/>
    </row>
    <row r="156" spans="1:26" ht="15.75" customHeight="1">
      <c r="A156" s="7"/>
      <c r="B156" s="7"/>
      <c r="C156" s="7"/>
      <c r="D156" s="7"/>
      <c r="E156" s="7"/>
      <c r="F156" s="30"/>
      <c r="G156" s="7"/>
      <c r="H156" s="7"/>
      <c r="I156" s="7"/>
      <c r="J156" s="7"/>
      <c r="K156" s="7"/>
      <c r="L156" s="7"/>
      <c r="M156" s="7"/>
      <c r="N156" s="7"/>
      <c r="O156" s="7"/>
      <c r="P156" s="7"/>
      <c r="Q156" s="7"/>
      <c r="R156" s="7"/>
      <c r="S156" s="7"/>
      <c r="T156" s="7"/>
      <c r="U156" s="4"/>
      <c r="V156" s="4"/>
      <c r="W156" s="4"/>
      <c r="X156" s="4"/>
      <c r="Y156" s="4"/>
      <c r="Z156" s="4"/>
    </row>
    <row r="157" spans="1:26" ht="15.75" customHeight="1">
      <c r="A157" s="7"/>
      <c r="B157" s="7"/>
      <c r="C157" s="7"/>
      <c r="D157" s="7"/>
      <c r="E157" s="7"/>
      <c r="F157" s="30"/>
      <c r="G157" s="7"/>
      <c r="H157" s="7"/>
      <c r="I157" s="7"/>
      <c r="J157" s="7"/>
      <c r="K157" s="7"/>
      <c r="L157" s="7"/>
      <c r="M157" s="7"/>
      <c r="N157" s="7"/>
      <c r="O157" s="7"/>
      <c r="P157" s="7"/>
      <c r="Q157" s="7"/>
      <c r="R157" s="7"/>
      <c r="S157" s="7"/>
      <c r="T157" s="7"/>
      <c r="U157" s="4"/>
      <c r="V157" s="4"/>
      <c r="W157" s="4"/>
      <c r="X157" s="4"/>
      <c r="Y157" s="4"/>
      <c r="Z157" s="4"/>
    </row>
    <row r="158" spans="1:26" ht="15.75" customHeight="1">
      <c r="A158" s="7"/>
      <c r="B158" s="7"/>
      <c r="C158" s="7"/>
      <c r="D158" s="7"/>
      <c r="E158" s="7"/>
      <c r="F158" s="30"/>
      <c r="G158" s="7"/>
      <c r="H158" s="7"/>
      <c r="I158" s="7"/>
      <c r="J158" s="7"/>
      <c r="K158" s="7"/>
      <c r="L158" s="7"/>
      <c r="M158" s="7"/>
      <c r="N158" s="7"/>
      <c r="O158" s="7"/>
      <c r="P158" s="7"/>
      <c r="Q158" s="7"/>
      <c r="R158" s="7"/>
      <c r="S158" s="7"/>
      <c r="T158" s="7"/>
      <c r="U158" s="4"/>
      <c r="V158" s="4"/>
      <c r="W158" s="4"/>
      <c r="X158" s="4"/>
      <c r="Y158" s="4"/>
      <c r="Z158" s="4"/>
    </row>
    <row r="159" spans="1:26" ht="15.75" customHeight="1">
      <c r="A159" s="7"/>
      <c r="B159" s="7"/>
      <c r="C159" s="7"/>
      <c r="D159" s="7"/>
      <c r="E159" s="7"/>
      <c r="F159" s="30"/>
      <c r="G159" s="7"/>
      <c r="H159" s="7"/>
      <c r="I159" s="7"/>
      <c r="J159" s="7"/>
      <c r="K159" s="7"/>
      <c r="L159" s="7"/>
      <c r="M159" s="7"/>
      <c r="N159" s="7"/>
      <c r="O159" s="7"/>
      <c r="P159" s="7"/>
      <c r="Q159" s="7"/>
      <c r="R159" s="7"/>
      <c r="S159" s="7"/>
      <c r="T159" s="7"/>
      <c r="U159" s="4"/>
      <c r="V159" s="4"/>
      <c r="W159" s="4"/>
      <c r="X159" s="4"/>
      <c r="Y159" s="4"/>
      <c r="Z159" s="4"/>
    </row>
    <row r="160" spans="1:26" ht="15.75" customHeight="1">
      <c r="A160" s="7"/>
      <c r="B160" s="7"/>
      <c r="C160" s="7"/>
      <c r="D160" s="7"/>
      <c r="E160" s="7"/>
      <c r="F160" s="30"/>
      <c r="G160" s="7"/>
      <c r="H160" s="7"/>
      <c r="I160" s="7"/>
      <c r="J160" s="7"/>
      <c r="K160" s="7"/>
      <c r="L160" s="7"/>
      <c r="M160" s="7"/>
      <c r="N160" s="7"/>
      <c r="O160" s="7"/>
      <c r="P160" s="7"/>
      <c r="Q160" s="7"/>
      <c r="R160" s="7"/>
      <c r="S160" s="7"/>
      <c r="T160" s="7"/>
      <c r="U160" s="4"/>
      <c r="V160" s="4"/>
      <c r="W160" s="4"/>
      <c r="X160" s="4"/>
      <c r="Y160" s="4"/>
      <c r="Z160" s="4"/>
    </row>
    <row r="161" spans="1:26" ht="15.75" customHeight="1">
      <c r="A161" s="7"/>
      <c r="B161" s="7"/>
      <c r="C161" s="7"/>
      <c r="D161" s="7"/>
      <c r="E161" s="7"/>
      <c r="F161" s="30"/>
      <c r="G161" s="7"/>
      <c r="H161" s="7"/>
      <c r="I161" s="7"/>
      <c r="J161" s="7"/>
      <c r="K161" s="7"/>
      <c r="L161" s="7"/>
      <c r="M161" s="7"/>
      <c r="N161" s="7"/>
      <c r="O161" s="7"/>
      <c r="P161" s="7"/>
      <c r="Q161" s="7"/>
      <c r="R161" s="7"/>
      <c r="S161" s="7"/>
      <c r="T161" s="7"/>
      <c r="U161" s="4"/>
      <c r="V161" s="4"/>
      <c r="W161" s="4"/>
      <c r="X161" s="4"/>
      <c r="Y161" s="4"/>
      <c r="Z161" s="4"/>
    </row>
    <row r="162" spans="1:26" ht="15.75" customHeight="1">
      <c r="A162" s="7"/>
      <c r="B162" s="7"/>
      <c r="C162" s="7"/>
      <c r="D162" s="7"/>
      <c r="E162" s="7"/>
      <c r="F162" s="30"/>
      <c r="G162" s="7"/>
      <c r="H162" s="7"/>
      <c r="I162" s="7"/>
      <c r="J162" s="7"/>
      <c r="K162" s="7"/>
      <c r="L162" s="7"/>
      <c r="M162" s="7"/>
      <c r="N162" s="7"/>
      <c r="O162" s="7"/>
      <c r="P162" s="7"/>
      <c r="Q162" s="7"/>
      <c r="R162" s="7"/>
      <c r="S162" s="7"/>
      <c r="T162" s="7"/>
      <c r="U162" s="4"/>
      <c r="V162" s="4"/>
      <c r="W162" s="4"/>
      <c r="X162" s="4"/>
      <c r="Y162" s="4"/>
      <c r="Z162" s="4"/>
    </row>
    <row r="163" spans="1:26" ht="15.75" customHeight="1">
      <c r="A163" s="7"/>
      <c r="B163" s="7"/>
      <c r="C163" s="7"/>
      <c r="D163" s="7"/>
      <c r="E163" s="7"/>
      <c r="F163" s="30"/>
      <c r="G163" s="7"/>
      <c r="H163" s="7"/>
      <c r="I163" s="7"/>
      <c r="J163" s="7"/>
      <c r="K163" s="7"/>
      <c r="L163" s="7"/>
      <c r="M163" s="7"/>
      <c r="N163" s="7"/>
      <c r="O163" s="7"/>
      <c r="P163" s="7"/>
      <c r="Q163" s="7"/>
      <c r="R163" s="7"/>
      <c r="S163" s="7"/>
      <c r="T163" s="7"/>
      <c r="U163" s="4"/>
      <c r="V163" s="4"/>
      <c r="W163" s="4"/>
      <c r="X163" s="4"/>
      <c r="Y163" s="4"/>
      <c r="Z163" s="4"/>
    </row>
    <row r="164" spans="1:26" ht="15.75" customHeight="1">
      <c r="A164" s="7"/>
      <c r="B164" s="7"/>
      <c r="C164" s="7"/>
      <c r="D164" s="7"/>
      <c r="E164" s="7"/>
      <c r="F164" s="30"/>
      <c r="G164" s="7"/>
      <c r="H164" s="7"/>
      <c r="I164" s="7"/>
      <c r="J164" s="7"/>
      <c r="K164" s="7"/>
      <c r="L164" s="7"/>
      <c r="M164" s="7"/>
      <c r="N164" s="7"/>
      <c r="O164" s="7"/>
      <c r="P164" s="7"/>
      <c r="Q164" s="7"/>
      <c r="R164" s="7"/>
      <c r="S164" s="7"/>
      <c r="T164" s="7"/>
      <c r="U164" s="4"/>
      <c r="V164" s="4"/>
      <c r="W164" s="4"/>
      <c r="X164" s="4"/>
      <c r="Y164" s="4"/>
      <c r="Z164" s="4"/>
    </row>
    <row r="165" spans="1:26" ht="15.75" customHeight="1">
      <c r="A165" s="7"/>
      <c r="B165" s="7"/>
      <c r="C165" s="7"/>
      <c r="D165" s="7"/>
      <c r="E165" s="7"/>
      <c r="F165" s="30"/>
      <c r="G165" s="7"/>
      <c r="H165" s="7"/>
      <c r="I165" s="7"/>
      <c r="J165" s="7"/>
      <c r="K165" s="7"/>
      <c r="L165" s="7"/>
      <c r="M165" s="7"/>
      <c r="N165" s="7"/>
      <c r="O165" s="7"/>
      <c r="P165" s="7"/>
      <c r="Q165" s="7"/>
      <c r="R165" s="7"/>
      <c r="S165" s="7"/>
      <c r="T165" s="7"/>
      <c r="U165" s="4"/>
      <c r="V165" s="4"/>
      <c r="W165" s="4"/>
      <c r="X165" s="4"/>
      <c r="Y165" s="4"/>
      <c r="Z165" s="4"/>
    </row>
    <row r="166" spans="1:26" ht="15.75" customHeight="1">
      <c r="A166" s="7"/>
      <c r="B166" s="7"/>
      <c r="C166" s="7"/>
      <c r="D166" s="7"/>
      <c r="E166" s="7"/>
      <c r="F166" s="30"/>
      <c r="G166" s="7"/>
      <c r="H166" s="7"/>
      <c r="I166" s="7"/>
      <c r="J166" s="7"/>
      <c r="K166" s="7"/>
      <c r="L166" s="7"/>
      <c r="M166" s="7"/>
      <c r="N166" s="7"/>
      <c r="O166" s="7"/>
      <c r="P166" s="7"/>
      <c r="Q166" s="7"/>
      <c r="R166" s="7"/>
      <c r="S166" s="7"/>
      <c r="T166" s="7"/>
      <c r="U166" s="4"/>
      <c r="V166" s="4"/>
      <c r="W166" s="4"/>
      <c r="X166" s="4"/>
      <c r="Y166" s="4"/>
      <c r="Z166" s="4"/>
    </row>
    <row r="167" spans="1:26" ht="15.75" customHeight="1">
      <c r="A167" s="7"/>
      <c r="B167" s="7"/>
      <c r="C167" s="7"/>
      <c r="D167" s="7"/>
      <c r="E167" s="7"/>
      <c r="F167" s="30"/>
      <c r="G167" s="7"/>
      <c r="H167" s="7"/>
      <c r="I167" s="7"/>
      <c r="J167" s="7"/>
      <c r="K167" s="7"/>
      <c r="L167" s="7"/>
      <c r="M167" s="7"/>
      <c r="N167" s="7"/>
      <c r="O167" s="7"/>
      <c r="P167" s="7"/>
      <c r="Q167" s="7"/>
      <c r="R167" s="7"/>
      <c r="S167" s="7"/>
      <c r="T167" s="7"/>
      <c r="U167" s="4"/>
      <c r="V167" s="4"/>
      <c r="W167" s="4"/>
      <c r="X167" s="4"/>
      <c r="Y167" s="4"/>
      <c r="Z167" s="4"/>
    </row>
    <row r="168" spans="1:26" ht="15.75" customHeight="1">
      <c r="A168" s="7"/>
      <c r="B168" s="7"/>
      <c r="C168" s="7"/>
      <c r="D168" s="7"/>
      <c r="E168" s="7"/>
      <c r="F168" s="30"/>
      <c r="G168" s="7"/>
      <c r="H168" s="7"/>
      <c r="I168" s="7"/>
      <c r="J168" s="7"/>
      <c r="K168" s="7"/>
      <c r="L168" s="7"/>
      <c r="M168" s="7"/>
      <c r="N168" s="7"/>
      <c r="O168" s="7"/>
      <c r="P168" s="7"/>
      <c r="Q168" s="7"/>
      <c r="R168" s="7"/>
      <c r="S168" s="7"/>
      <c r="T168" s="7"/>
      <c r="U168" s="4"/>
      <c r="V168" s="4"/>
      <c r="W168" s="4"/>
      <c r="X168" s="4"/>
      <c r="Y168" s="4"/>
      <c r="Z168" s="4"/>
    </row>
    <row r="169" spans="1:26" ht="15.75" customHeight="1">
      <c r="A169" s="7"/>
      <c r="B169" s="7"/>
      <c r="C169" s="7"/>
      <c r="D169" s="7"/>
      <c r="E169" s="7"/>
      <c r="F169" s="30"/>
      <c r="G169" s="7"/>
      <c r="H169" s="7"/>
      <c r="I169" s="7"/>
      <c r="J169" s="7"/>
      <c r="K169" s="7"/>
      <c r="L169" s="7"/>
      <c r="M169" s="7"/>
      <c r="N169" s="7"/>
      <c r="O169" s="7"/>
      <c r="P169" s="7"/>
      <c r="Q169" s="7"/>
      <c r="R169" s="7"/>
      <c r="S169" s="7"/>
      <c r="T169" s="7"/>
      <c r="U169" s="4"/>
      <c r="V169" s="4"/>
      <c r="W169" s="4"/>
      <c r="X169" s="4"/>
      <c r="Y169" s="4"/>
      <c r="Z169" s="4"/>
    </row>
    <row r="170" spans="1:26" ht="15.75" customHeight="1">
      <c r="A170" s="7"/>
      <c r="B170" s="7"/>
      <c r="C170" s="7"/>
      <c r="D170" s="7"/>
      <c r="E170" s="7"/>
      <c r="F170" s="30"/>
      <c r="G170" s="7"/>
      <c r="H170" s="7"/>
      <c r="I170" s="7"/>
      <c r="J170" s="7"/>
      <c r="K170" s="7"/>
      <c r="L170" s="7"/>
      <c r="M170" s="7"/>
      <c r="N170" s="7"/>
      <c r="O170" s="7"/>
      <c r="P170" s="7"/>
      <c r="Q170" s="7"/>
      <c r="R170" s="7"/>
      <c r="S170" s="7"/>
      <c r="T170" s="7"/>
      <c r="U170" s="4"/>
      <c r="V170" s="4"/>
      <c r="W170" s="4"/>
      <c r="X170" s="4"/>
      <c r="Y170" s="4"/>
      <c r="Z170" s="4"/>
    </row>
    <row r="171" spans="1:26" ht="15.75" customHeight="1">
      <c r="A171" s="7"/>
      <c r="B171" s="7"/>
      <c r="C171" s="7"/>
      <c r="D171" s="7"/>
      <c r="E171" s="7"/>
      <c r="F171" s="30"/>
      <c r="G171" s="7"/>
      <c r="H171" s="7"/>
      <c r="I171" s="7"/>
      <c r="J171" s="7"/>
      <c r="K171" s="7"/>
      <c r="L171" s="7"/>
      <c r="M171" s="7"/>
      <c r="N171" s="7"/>
      <c r="O171" s="7"/>
      <c r="P171" s="7"/>
      <c r="Q171" s="7"/>
      <c r="R171" s="7"/>
      <c r="S171" s="7"/>
      <c r="T171" s="7"/>
      <c r="U171" s="4"/>
      <c r="V171" s="4"/>
      <c r="W171" s="4"/>
      <c r="X171" s="4"/>
      <c r="Y171" s="4"/>
      <c r="Z171" s="4"/>
    </row>
    <row r="172" spans="1:26" ht="15.75" customHeight="1">
      <c r="A172" s="7"/>
      <c r="B172" s="7"/>
      <c r="C172" s="7"/>
      <c r="D172" s="7"/>
      <c r="E172" s="7"/>
      <c r="F172" s="30"/>
      <c r="G172" s="7"/>
      <c r="H172" s="7"/>
      <c r="I172" s="7"/>
      <c r="J172" s="7"/>
      <c r="K172" s="7"/>
      <c r="L172" s="7"/>
      <c r="M172" s="7"/>
      <c r="N172" s="7"/>
      <c r="O172" s="7"/>
      <c r="P172" s="7"/>
      <c r="Q172" s="7"/>
      <c r="R172" s="7"/>
      <c r="S172" s="7"/>
      <c r="T172" s="7"/>
      <c r="U172" s="4"/>
      <c r="V172" s="4"/>
      <c r="W172" s="4"/>
      <c r="X172" s="4"/>
      <c r="Y172" s="4"/>
      <c r="Z172" s="4"/>
    </row>
    <row r="173" spans="1:26" ht="15.75" customHeight="1">
      <c r="A173" s="7"/>
      <c r="B173" s="7"/>
      <c r="C173" s="7"/>
      <c r="D173" s="7"/>
      <c r="E173" s="7"/>
      <c r="F173" s="30"/>
      <c r="G173" s="7"/>
      <c r="H173" s="7"/>
      <c r="I173" s="7"/>
      <c r="J173" s="7"/>
      <c r="K173" s="7"/>
      <c r="L173" s="7"/>
      <c r="M173" s="7"/>
      <c r="N173" s="7"/>
      <c r="O173" s="7"/>
      <c r="P173" s="7"/>
      <c r="Q173" s="7"/>
      <c r="R173" s="7"/>
      <c r="S173" s="7"/>
      <c r="T173" s="7"/>
      <c r="U173" s="4"/>
      <c r="V173" s="4"/>
      <c r="W173" s="4"/>
      <c r="X173" s="4"/>
      <c r="Y173" s="4"/>
      <c r="Z173" s="4"/>
    </row>
    <row r="174" spans="1:26" ht="15.75" customHeight="1">
      <c r="A174" s="7"/>
      <c r="B174" s="7"/>
      <c r="C174" s="7"/>
      <c r="D174" s="7"/>
      <c r="E174" s="7"/>
      <c r="F174" s="30"/>
      <c r="G174" s="7"/>
      <c r="H174" s="7"/>
      <c r="I174" s="7"/>
      <c r="J174" s="7"/>
      <c r="K174" s="7"/>
      <c r="L174" s="7"/>
      <c r="M174" s="7"/>
      <c r="N174" s="7"/>
      <c r="O174" s="7"/>
      <c r="P174" s="7"/>
      <c r="Q174" s="7"/>
      <c r="R174" s="7"/>
      <c r="S174" s="7"/>
      <c r="T174" s="7"/>
      <c r="U174" s="4"/>
      <c r="V174" s="4"/>
      <c r="W174" s="4"/>
      <c r="X174" s="4"/>
      <c r="Y174" s="4"/>
      <c r="Z174" s="4"/>
    </row>
    <row r="175" spans="1:26" ht="15.75" customHeight="1">
      <c r="A175" s="7"/>
      <c r="B175" s="7"/>
      <c r="C175" s="7"/>
      <c r="D175" s="7"/>
      <c r="E175" s="7"/>
      <c r="F175" s="30"/>
      <c r="G175" s="7"/>
      <c r="H175" s="7"/>
      <c r="I175" s="7"/>
      <c r="J175" s="7"/>
      <c r="K175" s="7"/>
      <c r="L175" s="7"/>
      <c r="M175" s="7"/>
      <c r="N175" s="7"/>
      <c r="O175" s="7"/>
      <c r="P175" s="7"/>
      <c r="Q175" s="7"/>
      <c r="R175" s="7"/>
      <c r="S175" s="7"/>
      <c r="T175" s="7"/>
      <c r="U175" s="4"/>
      <c r="V175" s="4"/>
      <c r="W175" s="4"/>
      <c r="X175" s="4"/>
      <c r="Y175" s="4"/>
      <c r="Z175" s="4"/>
    </row>
    <row r="176" spans="1:26" ht="15.75" customHeight="1">
      <c r="A176" s="7"/>
      <c r="B176" s="7"/>
      <c r="C176" s="7"/>
      <c r="D176" s="7"/>
      <c r="E176" s="7"/>
      <c r="F176" s="30"/>
      <c r="G176" s="7"/>
      <c r="H176" s="7"/>
      <c r="I176" s="7"/>
      <c r="J176" s="7"/>
      <c r="K176" s="7"/>
      <c r="L176" s="7"/>
      <c r="M176" s="7"/>
      <c r="N176" s="7"/>
      <c r="O176" s="7"/>
      <c r="P176" s="7"/>
      <c r="Q176" s="7"/>
      <c r="R176" s="7"/>
      <c r="S176" s="7"/>
      <c r="T176" s="7"/>
      <c r="U176" s="4"/>
      <c r="V176" s="4"/>
      <c r="W176" s="4"/>
      <c r="X176" s="4"/>
      <c r="Y176" s="4"/>
      <c r="Z176" s="4"/>
    </row>
    <row r="177" spans="1:26" ht="15.75" customHeight="1">
      <c r="A177" s="7"/>
      <c r="B177" s="7"/>
      <c r="C177" s="7"/>
      <c r="D177" s="7"/>
      <c r="E177" s="7"/>
      <c r="F177" s="30"/>
      <c r="G177" s="7"/>
      <c r="H177" s="7"/>
      <c r="I177" s="7"/>
      <c r="J177" s="7"/>
      <c r="K177" s="7"/>
      <c r="L177" s="7"/>
      <c r="M177" s="7"/>
      <c r="N177" s="7"/>
      <c r="O177" s="7"/>
      <c r="P177" s="7"/>
      <c r="Q177" s="7"/>
      <c r="R177" s="7"/>
      <c r="S177" s="7"/>
      <c r="T177" s="7"/>
      <c r="U177" s="4"/>
      <c r="V177" s="4"/>
      <c r="W177" s="4"/>
      <c r="X177" s="4"/>
      <c r="Y177" s="4"/>
      <c r="Z177" s="4"/>
    </row>
    <row r="178" spans="1:26" ht="15.75" customHeight="1">
      <c r="A178" s="7"/>
      <c r="B178" s="7"/>
      <c r="C178" s="7"/>
      <c r="D178" s="7"/>
      <c r="E178" s="7"/>
      <c r="F178" s="30"/>
      <c r="G178" s="7"/>
      <c r="H178" s="7"/>
      <c r="I178" s="7"/>
      <c r="J178" s="7"/>
      <c r="K178" s="7"/>
      <c r="L178" s="7"/>
      <c r="M178" s="7"/>
      <c r="N178" s="7"/>
      <c r="O178" s="7"/>
      <c r="P178" s="7"/>
      <c r="Q178" s="7"/>
      <c r="R178" s="7"/>
      <c r="S178" s="7"/>
      <c r="T178" s="7"/>
      <c r="U178" s="4"/>
      <c r="V178" s="4"/>
      <c r="W178" s="4"/>
      <c r="X178" s="4"/>
      <c r="Y178" s="4"/>
      <c r="Z178" s="4"/>
    </row>
    <row r="179" spans="1:26" ht="15.75" customHeight="1">
      <c r="A179" s="7"/>
      <c r="B179" s="7"/>
      <c r="C179" s="7"/>
      <c r="D179" s="7"/>
      <c r="E179" s="7"/>
      <c r="F179" s="30"/>
      <c r="G179" s="7"/>
      <c r="H179" s="7"/>
      <c r="I179" s="7"/>
      <c r="J179" s="7"/>
      <c r="K179" s="7"/>
      <c r="L179" s="7"/>
      <c r="M179" s="7"/>
      <c r="N179" s="7"/>
      <c r="O179" s="7"/>
      <c r="P179" s="7"/>
      <c r="Q179" s="7"/>
      <c r="R179" s="7"/>
      <c r="S179" s="7"/>
      <c r="T179" s="7"/>
      <c r="U179" s="4"/>
      <c r="V179" s="4"/>
      <c r="W179" s="4"/>
      <c r="X179" s="4"/>
      <c r="Y179" s="4"/>
      <c r="Z179" s="4"/>
    </row>
    <row r="180" spans="1:26" ht="15.75" customHeight="1">
      <c r="A180" s="7"/>
      <c r="B180" s="7"/>
      <c r="C180" s="7"/>
      <c r="D180" s="7"/>
      <c r="E180" s="7"/>
      <c r="F180" s="30"/>
      <c r="G180" s="7"/>
      <c r="H180" s="7"/>
      <c r="I180" s="7"/>
      <c r="J180" s="7"/>
      <c r="K180" s="7"/>
      <c r="L180" s="7"/>
      <c r="M180" s="7"/>
      <c r="N180" s="7"/>
      <c r="O180" s="7"/>
      <c r="P180" s="7"/>
      <c r="Q180" s="7"/>
      <c r="R180" s="7"/>
      <c r="S180" s="7"/>
      <c r="T180" s="7"/>
      <c r="U180" s="4"/>
      <c r="V180" s="4"/>
      <c r="W180" s="4"/>
      <c r="X180" s="4"/>
      <c r="Y180" s="4"/>
      <c r="Z180" s="4"/>
    </row>
    <row r="181" spans="1:26" ht="15.75" customHeight="1">
      <c r="A181" s="7"/>
      <c r="B181" s="7"/>
      <c r="C181" s="7"/>
      <c r="D181" s="7"/>
      <c r="E181" s="7"/>
      <c r="F181" s="30"/>
      <c r="G181" s="7"/>
      <c r="H181" s="7"/>
      <c r="I181" s="7"/>
      <c r="J181" s="7"/>
      <c r="K181" s="7"/>
      <c r="L181" s="7"/>
      <c r="M181" s="7"/>
      <c r="N181" s="7"/>
      <c r="O181" s="7"/>
      <c r="P181" s="7"/>
      <c r="Q181" s="7"/>
      <c r="R181" s="7"/>
      <c r="S181" s="7"/>
      <c r="T181" s="7"/>
      <c r="U181" s="4"/>
      <c r="V181" s="4"/>
      <c r="W181" s="4"/>
      <c r="X181" s="4"/>
      <c r="Y181" s="4"/>
      <c r="Z181" s="4"/>
    </row>
    <row r="182" spans="1:26" ht="15.75" customHeight="1">
      <c r="A182" s="7"/>
      <c r="B182" s="7"/>
      <c r="C182" s="7"/>
      <c r="D182" s="7"/>
      <c r="E182" s="7"/>
      <c r="F182" s="30"/>
      <c r="G182" s="7"/>
      <c r="H182" s="7"/>
      <c r="I182" s="7"/>
      <c r="J182" s="7"/>
      <c r="K182" s="7"/>
      <c r="L182" s="7"/>
      <c r="M182" s="7"/>
      <c r="N182" s="7"/>
      <c r="O182" s="7"/>
      <c r="P182" s="7"/>
      <c r="Q182" s="7"/>
      <c r="R182" s="7"/>
      <c r="S182" s="7"/>
      <c r="T182" s="7"/>
      <c r="U182" s="4"/>
      <c r="V182" s="4"/>
      <c r="W182" s="4"/>
      <c r="X182" s="4"/>
      <c r="Y182" s="4"/>
      <c r="Z182" s="4"/>
    </row>
    <row r="183" spans="1:26" ht="15.75" customHeight="1">
      <c r="A183" s="7"/>
      <c r="B183" s="7"/>
      <c r="C183" s="7"/>
      <c r="D183" s="7"/>
      <c r="E183" s="7"/>
      <c r="F183" s="30"/>
      <c r="G183" s="7"/>
      <c r="H183" s="7"/>
      <c r="I183" s="7"/>
      <c r="J183" s="7"/>
      <c r="K183" s="7"/>
      <c r="L183" s="7"/>
      <c r="M183" s="7"/>
      <c r="N183" s="7"/>
      <c r="O183" s="7"/>
      <c r="P183" s="7"/>
      <c r="Q183" s="7"/>
      <c r="R183" s="7"/>
      <c r="S183" s="7"/>
      <c r="T183" s="7"/>
      <c r="U183" s="4"/>
      <c r="V183" s="4"/>
      <c r="W183" s="4"/>
      <c r="X183" s="4"/>
      <c r="Y183" s="4"/>
      <c r="Z183" s="4"/>
    </row>
    <row r="184" spans="1:26" ht="15.75" customHeight="1">
      <c r="A184" s="7"/>
      <c r="B184" s="7"/>
      <c r="C184" s="7"/>
      <c r="D184" s="7"/>
      <c r="E184" s="7"/>
      <c r="F184" s="30"/>
      <c r="G184" s="7"/>
      <c r="H184" s="7"/>
      <c r="I184" s="7"/>
      <c r="J184" s="7"/>
      <c r="K184" s="7"/>
      <c r="L184" s="7"/>
      <c r="M184" s="7"/>
      <c r="N184" s="7"/>
      <c r="O184" s="7"/>
      <c r="P184" s="7"/>
      <c r="Q184" s="7"/>
      <c r="R184" s="7"/>
      <c r="S184" s="7"/>
      <c r="T184" s="7"/>
      <c r="U184" s="4"/>
      <c r="V184" s="4"/>
      <c r="W184" s="4"/>
      <c r="X184" s="4"/>
      <c r="Y184" s="4"/>
      <c r="Z184" s="4"/>
    </row>
    <row r="185" spans="1:26" ht="15.75" customHeight="1">
      <c r="A185" s="7"/>
      <c r="B185" s="7"/>
      <c r="C185" s="7"/>
      <c r="D185" s="7"/>
      <c r="E185" s="7"/>
      <c r="F185" s="30"/>
      <c r="G185" s="7"/>
      <c r="H185" s="7"/>
      <c r="I185" s="7"/>
      <c r="J185" s="7"/>
      <c r="K185" s="7"/>
      <c r="L185" s="7"/>
      <c r="M185" s="7"/>
      <c r="N185" s="7"/>
      <c r="O185" s="7"/>
      <c r="P185" s="7"/>
      <c r="Q185" s="7"/>
      <c r="R185" s="7"/>
      <c r="S185" s="7"/>
      <c r="T185" s="7"/>
      <c r="U185" s="4"/>
      <c r="V185" s="4"/>
      <c r="W185" s="4"/>
      <c r="X185" s="4"/>
      <c r="Y185" s="4"/>
      <c r="Z185" s="4"/>
    </row>
    <row r="186" spans="1:26" ht="15.75" customHeight="1">
      <c r="A186" s="7"/>
      <c r="B186" s="7"/>
      <c r="C186" s="7"/>
      <c r="D186" s="7"/>
      <c r="E186" s="7"/>
      <c r="F186" s="30"/>
      <c r="G186" s="7"/>
      <c r="H186" s="7"/>
      <c r="I186" s="7"/>
      <c r="J186" s="7"/>
      <c r="K186" s="7"/>
      <c r="L186" s="7"/>
      <c r="M186" s="7"/>
      <c r="N186" s="7"/>
      <c r="O186" s="7"/>
      <c r="P186" s="7"/>
      <c r="Q186" s="7"/>
      <c r="R186" s="7"/>
      <c r="S186" s="7"/>
      <c r="T186" s="7"/>
      <c r="U186" s="4"/>
      <c r="V186" s="4"/>
      <c r="W186" s="4"/>
      <c r="X186" s="4"/>
      <c r="Y186" s="4"/>
      <c r="Z186" s="4"/>
    </row>
    <row r="187" spans="1:26" ht="15.75" customHeight="1">
      <c r="A187" s="7"/>
      <c r="B187" s="7"/>
      <c r="C187" s="7"/>
      <c r="D187" s="7"/>
      <c r="E187" s="7"/>
      <c r="F187" s="30"/>
      <c r="G187" s="7"/>
      <c r="H187" s="7"/>
      <c r="I187" s="7"/>
      <c r="J187" s="7"/>
      <c r="K187" s="7"/>
      <c r="L187" s="7"/>
      <c r="M187" s="7"/>
      <c r="N187" s="7"/>
      <c r="O187" s="7"/>
      <c r="P187" s="7"/>
      <c r="Q187" s="7"/>
      <c r="R187" s="7"/>
      <c r="S187" s="7"/>
      <c r="T187" s="7"/>
      <c r="U187" s="4"/>
      <c r="V187" s="4"/>
      <c r="W187" s="4"/>
      <c r="X187" s="4"/>
      <c r="Y187" s="4"/>
      <c r="Z187" s="4"/>
    </row>
    <row r="188" spans="1:26" ht="15.75" customHeight="1">
      <c r="A188" s="7"/>
      <c r="B188" s="7"/>
      <c r="C188" s="7"/>
      <c r="D188" s="7"/>
      <c r="E188" s="7"/>
      <c r="F188" s="30"/>
      <c r="G188" s="7"/>
      <c r="H188" s="7"/>
      <c r="I188" s="7"/>
      <c r="J188" s="7"/>
      <c r="K188" s="7"/>
      <c r="L188" s="7"/>
      <c r="M188" s="7"/>
      <c r="N188" s="7"/>
      <c r="O188" s="7"/>
      <c r="P188" s="7"/>
      <c r="Q188" s="7"/>
      <c r="R188" s="7"/>
      <c r="S188" s="7"/>
      <c r="T188" s="7"/>
      <c r="U188" s="4"/>
      <c r="V188" s="4"/>
      <c r="W188" s="4"/>
      <c r="X188" s="4"/>
      <c r="Y188" s="4"/>
      <c r="Z188" s="4"/>
    </row>
    <row r="189" spans="1:26" ht="15.75" customHeight="1">
      <c r="A189" s="7"/>
      <c r="B189" s="7"/>
      <c r="C189" s="7"/>
      <c r="D189" s="7"/>
      <c r="E189" s="7"/>
      <c r="F189" s="30"/>
      <c r="G189" s="7"/>
      <c r="H189" s="7"/>
      <c r="I189" s="7"/>
      <c r="J189" s="7"/>
      <c r="K189" s="7"/>
      <c r="L189" s="7"/>
      <c r="M189" s="7"/>
      <c r="N189" s="7"/>
      <c r="O189" s="7"/>
      <c r="P189" s="7"/>
      <c r="Q189" s="7"/>
      <c r="R189" s="7"/>
      <c r="S189" s="7"/>
      <c r="T189" s="7"/>
      <c r="U189" s="4"/>
      <c r="V189" s="4"/>
      <c r="W189" s="4"/>
      <c r="X189" s="4"/>
      <c r="Y189" s="4"/>
      <c r="Z189" s="4"/>
    </row>
    <row r="190" spans="1:26" ht="15.75" customHeight="1">
      <c r="A190" s="7"/>
      <c r="B190" s="7"/>
      <c r="C190" s="7"/>
      <c r="D190" s="7"/>
      <c r="E190" s="7"/>
      <c r="F190" s="30"/>
      <c r="G190" s="7"/>
      <c r="H190" s="7"/>
      <c r="I190" s="7"/>
      <c r="J190" s="7"/>
      <c r="K190" s="7"/>
      <c r="L190" s="7"/>
      <c r="M190" s="7"/>
      <c r="N190" s="7"/>
      <c r="O190" s="7"/>
      <c r="P190" s="7"/>
      <c r="Q190" s="7"/>
      <c r="R190" s="7"/>
      <c r="S190" s="7"/>
      <c r="T190" s="7"/>
      <c r="U190" s="4"/>
      <c r="V190" s="4"/>
      <c r="W190" s="4"/>
      <c r="X190" s="4"/>
      <c r="Y190" s="4"/>
      <c r="Z190" s="4"/>
    </row>
    <row r="191" spans="1:26" ht="15.75" customHeight="1">
      <c r="A191" s="7"/>
      <c r="B191" s="7"/>
      <c r="C191" s="7"/>
      <c r="D191" s="7"/>
      <c r="E191" s="7"/>
      <c r="F191" s="30"/>
      <c r="G191" s="7"/>
      <c r="H191" s="7"/>
      <c r="I191" s="7"/>
      <c r="J191" s="7"/>
      <c r="K191" s="7"/>
      <c r="L191" s="7"/>
      <c r="M191" s="7"/>
      <c r="N191" s="7"/>
      <c r="O191" s="7"/>
      <c r="P191" s="7"/>
      <c r="Q191" s="7"/>
      <c r="R191" s="7"/>
      <c r="S191" s="7"/>
      <c r="T191" s="7"/>
      <c r="U191" s="4"/>
      <c r="V191" s="4"/>
      <c r="W191" s="4"/>
      <c r="X191" s="4"/>
      <c r="Y191" s="4"/>
      <c r="Z191" s="4"/>
    </row>
    <row r="192" spans="1:26" ht="15.75" customHeight="1">
      <c r="A192" s="7"/>
      <c r="B192" s="7"/>
      <c r="C192" s="7"/>
      <c r="D192" s="7"/>
      <c r="E192" s="7"/>
      <c r="F192" s="30"/>
      <c r="G192" s="7"/>
      <c r="H192" s="7"/>
      <c r="I192" s="7"/>
      <c r="J192" s="7"/>
      <c r="K192" s="7"/>
      <c r="L192" s="7"/>
      <c r="M192" s="7"/>
      <c r="N192" s="7"/>
      <c r="O192" s="7"/>
      <c r="P192" s="7"/>
      <c r="Q192" s="7"/>
      <c r="R192" s="7"/>
      <c r="S192" s="7"/>
      <c r="T192" s="7"/>
      <c r="U192" s="4"/>
      <c r="V192" s="4"/>
      <c r="W192" s="4"/>
      <c r="X192" s="4"/>
      <c r="Y192" s="4"/>
      <c r="Z192" s="4"/>
    </row>
    <row r="193" spans="1:26" ht="15.75" customHeight="1">
      <c r="A193" s="7"/>
      <c r="B193" s="7"/>
      <c r="C193" s="7"/>
      <c r="D193" s="7"/>
      <c r="E193" s="7"/>
      <c r="F193" s="30"/>
      <c r="G193" s="7"/>
      <c r="H193" s="7"/>
      <c r="I193" s="7"/>
      <c r="J193" s="7"/>
      <c r="K193" s="7"/>
      <c r="L193" s="7"/>
      <c r="M193" s="7"/>
      <c r="N193" s="7"/>
      <c r="O193" s="7"/>
      <c r="P193" s="7"/>
      <c r="Q193" s="7"/>
      <c r="R193" s="7"/>
      <c r="S193" s="7"/>
      <c r="T193" s="7"/>
      <c r="U193" s="4"/>
      <c r="V193" s="4"/>
      <c r="W193" s="4"/>
      <c r="X193" s="4"/>
      <c r="Y193" s="4"/>
      <c r="Z193" s="4"/>
    </row>
    <row r="194" spans="1:26" ht="15.75" customHeight="1">
      <c r="A194" s="7"/>
      <c r="B194" s="7"/>
      <c r="C194" s="7"/>
      <c r="D194" s="7"/>
      <c r="E194" s="7"/>
      <c r="F194" s="30"/>
      <c r="G194" s="7"/>
      <c r="H194" s="7"/>
      <c r="I194" s="7"/>
      <c r="J194" s="7"/>
      <c r="K194" s="7"/>
      <c r="L194" s="7"/>
      <c r="M194" s="7"/>
      <c r="N194" s="7"/>
      <c r="O194" s="7"/>
      <c r="P194" s="7"/>
      <c r="Q194" s="7"/>
      <c r="R194" s="7"/>
      <c r="S194" s="7"/>
      <c r="T194" s="7"/>
      <c r="U194" s="4"/>
      <c r="V194" s="4"/>
      <c r="W194" s="4"/>
      <c r="X194" s="4"/>
      <c r="Y194" s="4"/>
      <c r="Z194" s="4"/>
    </row>
    <row r="195" spans="1:26" ht="15.75" customHeight="1">
      <c r="A195" s="7"/>
      <c r="B195" s="7"/>
      <c r="C195" s="7"/>
      <c r="D195" s="7"/>
      <c r="E195" s="7"/>
      <c r="F195" s="30"/>
      <c r="G195" s="7"/>
      <c r="H195" s="7"/>
      <c r="I195" s="7"/>
      <c r="J195" s="7"/>
      <c r="K195" s="7"/>
      <c r="L195" s="7"/>
      <c r="M195" s="7"/>
      <c r="N195" s="7"/>
      <c r="O195" s="7"/>
      <c r="P195" s="7"/>
      <c r="Q195" s="7"/>
      <c r="R195" s="7"/>
      <c r="S195" s="7"/>
      <c r="T195" s="7"/>
      <c r="U195" s="4"/>
      <c r="V195" s="4"/>
      <c r="W195" s="4"/>
      <c r="X195" s="4"/>
      <c r="Y195" s="4"/>
      <c r="Z195" s="4"/>
    </row>
    <row r="196" spans="1:26" ht="15.75" customHeight="1">
      <c r="A196" s="7"/>
      <c r="B196" s="7"/>
      <c r="C196" s="7"/>
      <c r="D196" s="7"/>
      <c r="E196" s="7"/>
      <c r="F196" s="30"/>
      <c r="G196" s="7"/>
      <c r="H196" s="7"/>
      <c r="I196" s="7"/>
      <c r="J196" s="7"/>
      <c r="K196" s="7"/>
      <c r="L196" s="7"/>
      <c r="M196" s="7"/>
      <c r="N196" s="7"/>
      <c r="O196" s="7"/>
      <c r="P196" s="7"/>
      <c r="Q196" s="7"/>
      <c r="R196" s="7"/>
      <c r="S196" s="7"/>
      <c r="T196" s="7"/>
      <c r="U196" s="4"/>
      <c r="V196" s="4"/>
      <c r="W196" s="4"/>
      <c r="X196" s="4"/>
      <c r="Y196" s="4"/>
      <c r="Z196" s="4"/>
    </row>
    <row r="197" spans="1:26" ht="15.75" customHeight="1">
      <c r="A197" s="7"/>
      <c r="B197" s="7"/>
      <c r="C197" s="7"/>
      <c r="D197" s="7"/>
      <c r="E197" s="7"/>
      <c r="F197" s="30"/>
      <c r="G197" s="7"/>
      <c r="H197" s="7"/>
      <c r="I197" s="7"/>
      <c r="J197" s="7"/>
      <c r="K197" s="7"/>
      <c r="L197" s="7"/>
      <c r="M197" s="7"/>
      <c r="N197" s="7"/>
      <c r="O197" s="7"/>
      <c r="P197" s="7"/>
      <c r="Q197" s="7"/>
      <c r="R197" s="7"/>
      <c r="S197" s="7"/>
      <c r="T197" s="7"/>
      <c r="U197" s="4"/>
      <c r="V197" s="4"/>
      <c r="W197" s="4"/>
      <c r="X197" s="4"/>
      <c r="Y197" s="4"/>
      <c r="Z197" s="4"/>
    </row>
    <row r="198" spans="1:26" ht="15.75" customHeight="1">
      <c r="A198" s="7"/>
      <c r="B198" s="7"/>
      <c r="C198" s="7"/>
      <c r="D198" s="7"/>
      <c r="E198" s="7"/>
      <c r="F198" s="30"/>
      <c r="G198" s="7"/>
      <c r="H198" s="7"/>
      <c r="I198" s="7"/>
      <c r="J198" s="7"/>
      <c r="K198" s="7"/>
      <c r="L198" s="7"/>
      <c r="M198" s="7"/>
      <c r="N198" s="7"/>
      <c r="O198" s="7"/>
      <c r="P198" s="7"/>
      <c r="Q198" s="7"/>
      <c r="R198" s="7"/>
      <c r="S198" s="7"/>
      <c r="T198" s="7"/>
      <c r="U198" s="4"/>
      <c r="V198" s="4"/>
      <c r="W198" s="4"/>
      <c r="X198" s="4"/>
      <c r="Y198" s="4"/>
      <c r="Z198" s="4"/>
    </row>
    <row r="199" spans="1:26" ht="15.75" customHeight="1">
      <c r="A199" s="7"/>
      <c r="B199" s="7"/>
      <c r="C199" s="7"/>
      <c r="D199" s="7"/>
      <c r="E199" s="7"/>
      <c r="F199" s="30"/>
      <c r="G199" s="7"/>
      <c r="H199" s="7"/>
      <c r="I199" s="7"/>
      <c r="J199" s="7"/>
      <c r="K199" s="7"/>
      <c r="L199" s="7"/>
      <c r="M199" s="7"/>
      <c r="N199" s="7"/>
      <c r="O199" s="7"/>
      <c r="P199" s="7"/>
      <c r="Q199" s="7"/>
      <c r="R199" s="7"/>
      <c r="S199" s="7"/>
      <c r="T199" s="7"/>
      <c r="U199" s="4"/>
      <c r="V199" s="4"/>
      <c r="W199" s="4"/>
      <c r="X199" s="4"/>
      <c r="Y199" s="4"/>
      <c r="Z199" s="4"/>
    </row>
    <row r="200" spans="1:26" ht="15.75" customHeight="1">
      <c r="A200" s="7"/>
      <c r="B200" s="7"/>
      <c r="C200" s="7"/>
      <c r="D200" s="7"/>
      <c r="E200" s="7"/>
      <c r="F200" s="30"/>
      <c r="G200" s="7"/>
      <c r="H200" s="7"/>
      <c r="I200" s="7"/>
      <c r="J200" s="7"/>
      <c r="K200" s="7"/>
      <c r="L200" s="7"/>
      <c r="M200" s="7"/>
      <c r="N200" s="7"/>
      <c r="O200" s="7"/>
      <c r="P200" s="7"/>
      <c r="Q200" s="7"/>
      <c r="R200" s="7"/>
      <c r="S200" s="7"/>
      <c r="T200" s="7"/>
      <c r="U200" s="4"/>
      <c r="V200" s="4"/>
      <c r="W200" s="4"/>
      <c r="X200" s="4"/>
      <c r="Y200" s="4"/>
      <c r="Z200" s="4"/>
    </row>
    <row r="201" spans="1:26" ht="15.75" customHeight="1">
      <c r="A201" s="7"/>
      <c r="B201" s="7"/>
      <c r="C201" s="7"/>
      <c r="D201" s="7"/>
      <c r="E201" s="7"/>
      <c r="F201" s="30"/>
      <c r="G201" s="7"/>
      <c r="H201" s="7"/>
      <c r="I201" s="7"/>
      <c r="J201" s="7"/>
      <c r="K201" s="7"/>
      <c r="L201" s="7"/>
      <c r="M201" s="7"/>
      <c r="N201" s="7"/>
      <c r="O201" s="7"/>
      <c r="P201" s="7"/>
      <c r="Q201" s="7"/>
      <c r="R201" s="7"/>
      <c r="S201" s="7"/>
      <c r="T201" s="7"/>
      <c r="U201" s="4"/>
      <c r="V201" s="4"/>
      <c r="W201" s="4"/>
      <c r="X201" s="4"/>
      <c r="Y201" s="4"/>
      <c r="Z201" s="4"/>
    </row>
    <row r="202" spans="1:26" ht="15.75" customHeight="1">
      <c r="A202" s="7"/>
      <c r="B202" s="7"/>
      <c r="C202" s="7"/>
      <c r="D202" s="7"/>
      <c r="E202" s="7"/>
      <c r="F202" s="30"/>
      <c r="G202" s="7"/>
      <c r="H202" s="7"/>
      <c r="I202" s="7"/>
      <c r="J202" s="7"/>
      <c r="K202" s="7"/>
      <c r="L202" s="7"/>
      <c r="M202" s="7"/>
      <c r="N202" s="7"/>
      <c r="O202" s="7"/>
      <c r="P202" s="7"/>
      <c r="Q202" s="7"/>
      <c r="R202" s="7"/>
      <c r="S202" s="7"/>
      <c r="T202" s="7"/>
      <c r="U202" s="4"/>
      <c r="V202" s="4"/>
      <c r="W202" s="4"/>
      <c r="X202" s="4"/>
      <c r="Y202" s="4"/>
      <c r="Z202" s="4"/>
    </row>
    <row r="203" spans="1:26" ht="15.75" customHeight="1">
      <c r="A203" s="7"/>
      <c r="B203" s="7"/>
      <c r="C203" s="7"/>
      <c r="D203" s="7"/>
      <c r="E203" s="7"/>
      <c r="F203" s="30"/>
      <c r="G203" s="7"/>
      <c r="H203" s="7"/>
      <c r="I203" s="7"/>
      <c r="J203" s="7"/>
      <c r="K203" s="7"/>
      <c r="L203" s="7"/>
      <c r="M203" s="7"/>
      <c r="N203" s="7"/>
      <c r="O203" s="7"/>
      <c r="P203" s="7"/>
      <c r="Q203" s="7"/>
      <c r="R203" s="7"/>
      <c r="S203" s="7"/>
      <c r="T203" s="7"/>
      <c r="U203" s="4"/>
      <c r="V203" s="4"/>
      <c r="W203" s="4"/>
      <c r="X203" s="4"/>
      <c r="Y203" s="4"/>
      <c r="Z203" s="4"/>
    </row>
    <row r="204" spans="1:26" ht="15.75" customHeight="1">
      <c r="A204" s="7"/>
      <c r="B204" s="7"/>
      <c r="C204" s="7"/>
      <c r="D204" s="7"/>
      <c r="E204" s="7"/>
      <c r="F204" s="30"/>
      <c r="G204" s="7"/>
      <c r="H204" s="7"/>
      <c r="I204" s="7"/>
      <c r="J204" s="7"/>
      <c r="K204" s="7"/>
      <c r="L204" s="7"/>
      <c r="M204" s="7"/>
      <c r="N204" s="7"/>
      <c r="O204" s="7"/>
      <c r="P204" s="7"/>
      <c r="Q204" s="7"/>
      <c r="R204" s="7"/>
      <c r="S204" s="7"/>
      <c r="T204" s="7"/>
      <c r="U204" s="4"/>
      <c r="V204" s="4"/>
      <c r="W204" s="4"/>
      <c r="X204" s="4"/>
      <c r="Y204" s="4"/>
      <c r="Z204" s="4"/>
    </row>
    <row r="205" spans="1:26" ht="15.75" customHeight="1">
      <c r="A205" s="7"/>
      <c r="B205" s="7"/>
      <c r="C205" s="7"/>
      <c r="D205" s="7"/>
      <c r="E205" s="7"/>
      <c r="F205" s="30"/>
      <c r="G205" s="7"/>
      <c r="H205" s="7"/>
      <c r="I205" s="7"/>
      <c r="J205" s="7"/>
      <c r="K205" s="7"/>
      <c r="L205" s="7"/>
      <c r="M205" s="7"/>
      <c r="N205" s="7"/>
      <c r="O205" s="7"/>
      <c r="P205" s="7"/>
      <c r="Q205" s="7"/>
      <c r="R205" s="7"/>
      <c r="S205" s="7"/>
      <c r="T205" s="7"/>
      <c r="U205" s="4"/>
      <c r="V205" s="4"/>
      <c r="W205" s="4"/>
      <c r="X205" s="4"/>
      <c r="Y205" s="4"/>
      <c r="Z205" s="4"/>
    </row>
    <row r="206" spans="1:26" ht="15.75" customHeight="1">
      <c r="A206" s="7"/>
      <c r="B206" s="7"/>
      <c r="C206" s="7"/>
      <c r="D206" s="7"/>
      <c r="E206" s="7"/>
      <c r="F206" s="30"/>
      <c r="G206" s="7"/>
      <c r="H206" s="7"/>
      <c r="I206" s="7"/>
      <c r="J206" s="7"/>
      <c r="K206" s="7"/>
      <c r="L206" s="7"/>
      <c r="M206" s="7"/>
      <c r="N206" s="7"/>
      <c r="O206" s="7"/>
      <c r="P206" s="7"/>
      <c r="Q206" s="7"/>
      <c r="R206" s="7"/>
      <c r="S206" s="7"/>
      <c r="T206" s="7"/>
      <c r="U206" s="4"/>
      <c r="V206" s="4"/>
      <c r="W206" s="4"/>
      <c r="X206" s="4"/>
      <c r="Y206" s="4"/>
      <c r="Z206" s="4"/>
    </row>
    <row r="207" spans="1:26" ht="15.75" customHeight="1">
      <c r="A207" s="7"/>
      <c r="B207" s="7"/>
      <c r="C207" s="7"/>
      <c r="D207" s="7"/>
      <c r="E207" s="7"/>
      <c r="F207" s="30"/>
      <c r="G207" s="7"/>
      <c r="H207" s="7"/>
      <c r="I207" s="7"/>
      <c r="J207" s="7"/>
      <c r="K207" s="7"/>
      <c r="L207" s="7"/>
      <c r="M207" s="7"/>
      <c r="N207" s="7"/>
      <c r="O207" s="7"/>
      <c r="P207" s="7"/>
      <c r="Q207" s="7"/>
      <c r="R207" s="7"/>
      <c r="S207" s="7"/>
      <c r="T207" s="7"/>
      <c r="U207" s="4"/>
      <c r="V207" s="4"/>
      <c r="W207" s="4"/>
      <c r="X207" s="4"/>
      <c r="Y207" s="4"/>
      <c r="Z207" s="4"/>
    </row>
    <row r="208" spans="1:26" ht="15.75" customHeight="1">
      <c r="A208" s="7"/>
      <c r="B208" s="7"/>
      <c r="C208" s="7"/>
      <c r="D208" s="7"/>
      <c r="E208" s="7"/>
      <c r="F208" s="30"/>
      <c r="G208" s="7"/>
      <c r="H208" s="7"/>
      <c r="I208" s="7"/>
      <c r="J208" s="7"/>
      <c r="K208" s="7"/>
      <c r="L208" s="7"/>
      <c r="M208" s="7"/>
      <c r="N208" s="7"/>
      <c r="O208" s="7"/>
      <c r="P208" s="7"/>
      <c r="Q208" s="7"/>
      <c r="R208" s="7"/>
      <c r="S208" s="7"/>
      <c r="T208" s="7"/>
      <c r="U208" s="4"/>
      <c r="V208" s="4"/>
      <c r="W208" s="4"/>
      <c r="X208" s="4"/>
      <c r="Y208" s="4"/>
      <c r="Z208" s="4"/>
    </row>
    <row r="209" spans="1:26" ht="15.75" customHeight="1">
      <c r="A209" s="7"/>
      <c r="B209" s="7"/>
      <c r="C209" s="7"/>
      <c r="D209" s="7"/>
      <c r="E209" s="7"/>
      <c r="F209" s="30"/>
      <c r="G209" s="7"/>
      <c r="H209" s="7"/>
      <c r="I209" s="7"/>
      <c r="J209" s="7"/>
      <c r="K209" s="7"/>
      <c r="L209" s="7"/>
      <c r="M209" s="7"/>
      <c r="N209" s="7"/>
      <c r="O209" s="7"/>
      <c r="P209" s="7"/>
      <c r="Q209" s="7"/>
      <c r="R209" s="7"/>
      <c r="S209" s="7"/>
      <c r="T209" s="7"/>
      <c r="U209" s="4"/>
      <c r="V209" s="4"/>
      <c r="W209" s="4"/>
      <c r="X209" s="4"/>
      <c r="Y209" s="4"/>
      <c r="Z209" s="4"/>
    </row>
    <row r="210" spans="1:26" ht="15.75" customHeight="1">
      <c r="A210" s="7"/>
      <c r="B210" s="7"/>
      <c r="C210" s="7"/>
      <c r="D210" s="7"/>
      <c r="E210" s="7"/>
      <c r="F210" s="30"/>
      <c r="G210" s="7"/>
      <c r="H210" s="7"/>
      <c r="I210" s="7"/>
      <c r="J210" s="7"/>
      <c r="K210" s="7"/>
      <c r="L210" s="7"/>
      <c r="M210" s="7"/>
      <c r="N210" s="7"/>
      <c r="O210" s="7"/>
      <c r="P210" s="7"/>
      <c r="Q210" s="7"/>
      <c r="R210" s="7"/>
      <c r="S210" s="7"/>
      <c r="T210" s="7"/>
      <c r="U210" s="4"/>
      <c r="V210" s="4"/>
      <c r="W210" s="4"/>
      <c r="X210" s="4"/>
      <c r="Y210" s="4"/>
      <c r="Z210" s="4"/>
    </row>
    <row r="211" spans="1:26" ht="15.75" customHeight="1">
      <c r="A211" s="7"/>
      <c r="B211" s="7"/>
      <c r="C211" s="7"/>
      <c r="D211" s="7"/>
      <c r="E211" s="7"/>
      <c r="F211" s="30"/>
      <c r="G211" s="7"/>
      <c r="H211" s="7"/>
      <c r="I211" s="7"/>
      <c r="J211" s="7"/>
      <c r="K211" s="7"/>
      <c r="L211" s="7"/>
      <c r="M211" s="7"/>
      <c r="N211" s="7"/>
      <c r="O211" s="7"/>
      <c r="P211" s="7"/>
      <c r="Q211" s="7"/>
      <c r="R211" s="7"/>
      <c r="S211" s="7"/>
      <c r="T211" s="7"/>
      <c r="U211" s="4"/>
      <c r="V211" s="4"/>
      <c r="W211" s="4"/>
      <c r="X211" s="4"/>
      <c r="Y211" s="4"/>
      <c r="Z211" s="4"/>
    </row>
    <row r="212" spans="1:26" ht="15.75" customHeight="1">
      <c r="A212" s="7"/>
      <c r="B212" s="7"/>
      <c r="C212" s="7"/>
      <c r="D212" s="7"/>
      <c r="E212" s="7"/>
      <c r="F212" s="30"/>
      <c r="G212" s="7"/>
      <c r="H212" s="7"/>
      <c r="I212" s="7"/>
      <c r="J212" s="7"/>
      <c r="K212" s="7"/>
      <c r="L212" s="7"/>
      <c r="M212" s="7"/>
      <c r="N212" s="7"/>
      <c r="O212" s="7"/>
      <c r="P212" s="7"/>
      <c r="Q212" s="7"/>
      <c r="R212" s="7"/>
      <c r="S212" s="7"/>
      <c r="T212" s="7"/>
      <c r="U212" s="4"/>
      <c r="V212" s="4"/>
      <c r="W212" s="4"/>
      <c r="X212" s="4"/>
      <c r="Y212" s="4"/>
      <c r="Z212" s="4"/>
    </row>
    <row r="213" spans="1:26" ht="15.75" customHeight="1">
      <c r="A213" s="7"/>
      <c r="B213" s="7"/>
      <c r="C213" s="7"/>
      <c r="D213" s="7"/>
      <c r="E213" s="7"/>
      <c r="F213" s="30"/>
      <c r="G213" s="7"/>
      <c r="H213" s="7"/>
      <c r="I213" s="7"/>
      <c r="J213" s="7"/>
      <c r="K213" s="7"/>
      <c r="L213" s="7"/>
      <c r="M213" s="7"/>
      <c r="N213" s="7"/>
      <c r="O213" s="7"/>
      <c r="P213" s="7"/>
      <c r="Q213" s="7"/>
      <c r="R213" s="7"/>
      <c r="S213" s="7"/>
      <c r="T213" s="7"/>
      <c r="U213" s="4"/>
      <c r="V213" s="4"/>
      <c r="W213" s="4"/>
      <c r="X213" s="4"/>
      <c r="Y213" s="4"/>
      <c r="Z213" s="4"/>
    </row>
    <row r="214" spans="1:26" ht="15.75" customHeight="1">
      <c r="A214" s="7"/>
      <c r="B214" s="7"/>
      <c r="C214" s="7"/>
      <c r="D214" s="7"/>
      <c r="E214" s="7"/>
      <c r="F214" s="30"/>
      <c r="G214" s="7"/>
      <c r="H214" s="7"/>
      <c r="I214" s="7"/>
      <c r="J214" s="7"/>
      <c r="K214" s="7"/>
      <c r="L214" s="7"/>
      <c r="M214" s="7"/>
      <c r="N214" s="7"/>
      <c r="O214" s="7"/>
      <c r="P214" s="7"/>
      <c r="Q214" s="7"/>
      <c r="R214" s="7"/>
      <c r="S214" s="7"/>
      <c r="T214" s="7"/>
      <c r="U214" s="4"/>
      <c r="V214" s="4"/>
      <c r="W214" s="4"/>
      <c r="X214" s="4"/>
      <c r="Y214" s="4"/>
      <c r="Z214" s="4"/>
    </row>
    <row r="215" spans="1:26" ht="15.75" customHeight="1">
      <c r="A215" s="7"/>
      <c r="B215" s="7"/>
      <c r="C215" s="7"/>
      <c r="D215" s="7"/>
      <c r="E215" s="7"/>
      <c r="F215" s="30"/>
      <c r="G215" s="7"/>
      <c r="H215" s="7"/>
      <c r="I215" s="7"/>
      <c r="J215" s="7"/>
      <c r="K215" s="7"/>
      <c r="L215" s="7"/>
      <c r="M215" s="7"/>
      <c r="N215" s="7"/>
      <c r="O215" s="7"/>
      <c r="P215" s="7"/>
      <c r="Q215" s="7"/>
      <c r="R215" s="7"/>
      <c r="S215" s="7"/>
      <c r="T215" s="7"/>
      <c r="U215" s="4"/>
      <c r="V215" s="4"/>
      <c r="W215" s="4"/>
      <c r="X215" s="4"/>
      <c r="Y215" s="4"/>
      <c r="Z215" s="4"/>
    </row>
    <row r="216" spans="1:26" ht="15.75" customHeight="1">
      <c r="A216" s="7"/>
      <c r="B216" s="7"/>
      <c r="C216" s="7"/>
      <c r="D216" s="7"/>
      <c r="E216" s="7"/>
      <c r="F216" s="30"/>
      <c r="G216" s="7"/>
      <c r="H216" s="7"/>
      <c r="I216" s="7"/>
      <c r="J216" s="7"/>
      <c r="K216" s="7"/>
      <c r="L216" s="7"/>
      <c r="M216" s="7"/>
      <c r="N216" s="7"/>
      <c r="O216" s="7"/>
      <c r="P216" s="7"/>
      <c r="Q216" s="7"/>
      <c r="R216" s="7"/>
      <c r="S216" s="7"/>
      <c r="T216" s="7"/>
      <c r="U216" s="4"/>
      <c r="V216" s="4"/>
      <c r="W216" s="4"/>
      <c r="X216" s="4"/>
      <c r="Y216" s="4"/>
      <c r="Z216" s="4"/>
    </row>
    <row r="217" spans="1:26" ht="15.75" customHeight="1">
      <c r="A217" s="7"/>
      <c r="B217" s="7"/>
      <c r="C217" s="7"/>
      <c r="D217" s="7"/>
      <c r="E217" s="7"/>
      <c r="F217" s="30"/>
      <c r="G217" s="7"/>
      <c r="H217" s="7"/>
      <c r="I217" s="7"/>
      <c r="J217" s="7"/>
      <c r="K217" s="7"/>
      <c r="L217" s="7"/>
      <c r="M217" s="7"/>
      <c r="N217" s="7"/>
      <c r="O217" s="7"/>
      <c r="P217" s="7"/>
      <c r="Q217" s="7"/>
      <c r="R217" s="7"/>
      <c r="S217" s="7"/>
      <c r="T217" s="7"/>
      <c r="U217" s="4"/>
      <c r="V217" s="4"/>
      <c r="W217" s="4"/>
      <c r="X217" s="4"/>
      <c r="Y217" s="4"/>
      <c r="Z217" s="4"/>
    </row>
    <row r="218" spans="1:26" ht="15.75" customHeight="1">
      <c r="A218" s="7"/>
      <c r="B218" s="7"/>
      <c r="C218" s="7"/>
      <c r="D218" s="7"/>
      <c r="E218" s="7"/>
      <c r="F218" s="30"/>
      <c r="G218" s="7"/>
      <c r="H218" s="7"/>
      <c r="I218" s="7"/>
      <c r="J218" s="7"/>
      <c r="K218" s="7"/>
      <c r="L218" s="7"/>
      <c r="M218" s="7"/>
      <c r="N218" s="7"/>
      <c r="O218" s="7"/>
      <c r="P218" s="7"/>
      <c r="Q218" s="7"/>
      <c r="R218" s="7"/>
      <c r="S218" s="7"/>
      <c r="T218" s="7"/>
      <c r="U218" s="4"/>
      <c r="V218" s="4"/>
      <c r="W218" s="4"/>
      <c r="X218" s="4"/>
      <c r="Y218" s="4"/>
      <c r="Z218" s="4"/>
    </row>
    <row r="219" spans="1:26" ht="15.75" customHeight="1">
      <c r="A219" s="7"/>
      <c r="B219" s="7"/>
      <c r="C219" s="7"/>
      <c r="D219" s="7"/>
      <c r="E219" s="7"/>
      <c r="F219" s="30"/>
      <c r="G219" s="7"/>
      <c r="H219" s="7"/>
      <c r="I219" s="7"/>
      <c r="J219" s="7"/>
      <c r="K219" s="7"/>
      <c r="L219" s="7"/>
      <c r="M219" s="7"/>
      <c r="N219" s="7"/>
      <c r="O219" s="7"/>
      <c r="P219" s="7"/>
      <c r="Q219" s="7"/>
      <c r="R219" s="7"/>
      <c r="S219" s="7"/>
      <c r="T219" s="7"/>
      <c r="U219" s="4"/>
      <c r="V219" s="4"/>
      <c r="W219" s="4"/>
      <c r="X219" s="4"/>
      <c r="Y219" s="4"/>
      <c r="Z219" s="4"/>
    </row>
    <row r="220" spans="1:26" ht="15.75" customHeight="1">
      <c r="A220" s="7"/>
      <c r="B220" s="7"/>
      <c r="C220" s="7"/>
      <c r="D220" s="7"/>
      <c r="E220" s="7"/>
      <c r="F220" s="30"/>
      <c r="G220" s="7"/>
      <c r="H220" s="7"/>
      <c r="I220" s="7"/>
      <c r="J220" s="7"/>
      <c r="K220" s="7"/>
      <c r="L220" s="7"/>
      <c r="M220" s="7"/>
      <c r="N220" s="7"/>
      <c r="O220" s="7"/>
      <c r="P220" s="7"/>
      <c r="Q220" s="7"/>
      <c r="R220" s="7"/>
      <c r="S220" s="7"/>
      <c r="T220" s="7"/>
      <c r="U220" s="4"/>
      <c r="V220" s="4"/>
      <c r="W220" s="4"/>
      <c r="X220" s="4"/>
      <c r="Y220" s="4"/>
      <c r="Z220" s="4"/>
    </row>
    <row r="221" spans="1:26" ht="15.75" customHeight="1">
      <c r="A221" s="7"/>
      <c r="B221" s="7"/>
      <c r="C221" s="7"/>
      <c r="D221" s="7"/>
      <c r="E221" s="7"/>
      <c r="F221" s="30"/>
      <c r="G221" s="7"/>
      <c r="H221" s="7"/>
      <c r="I221" s="7"/>
      <c r="J221" s="7"/>
      <c r="K221" s="7"/>
      <c r="L221" s="7"/>
      <c r="M221" s="7"/>
      <c r="N221" s="7"/>
      <c r="O221" s="7"/>
      <c r="P221" s="7"/>
      <c r="Q221" s="7"/>
      <c r="R221" s="7"/>
      <c r="S221" s="7"/>
      <c r="T221" s="7"/>
      <c r="U221" s="4"/>
      <c r="V221" s="4"/>
      <c r="W221" s="4"/>
      <c r="X221" s="4"/>
      <c r="Y221" s="4"/>
      <c r="Z221" s="4"/>
    </row>
    <row r="222" spans="1:26" ht="15.75" customHeight="1">
      <c r="A222" s="7"/>
      <c r="B222" s="7"/>
      <c r="C222" s="7"/>
      <c r="D222" s="7"/>
      <c r="E222" s="7"/>
      <c r="F222" s="30"/>
      <c r="G222" s="7"/>
      <c r="H222" s="7"/>
      <c r="I222" s="7"/>
      <c r="J222" s="7"/>
      <c r="K222" s="7"/>
      <c r="L222" s="7"/>
      <c r="M222" s="7"/>
      <c r="N222" s="7"/>
      <c r="O222" s="7"/>
      <c r="P222" s="7"/>
      <c r="Q222" s="7"/>
      <c r="R222" s="7"/>
      <c r="S222" s="7"/>
      <c r="T222" s="7"/>
      <c r="U222" s="4"/>
      <c r="V222" s="4"/>
      <c r="W222" s="4"/>
      <c r="X222" s="4"/>
      <c r="Y222" s="4"/>
      <c r="Z222" s="4"/>
    </row>
    <row r="223" spans="1:26" ht="15.75" customHeight="1">
      <c r="A223" s="7"/>
      <c r="B223" s="7"/>
      <c r="C223" s="7"/>
      <c r="D223" s="7"/>
      <c r="E223" s="7"/>
      <c r="F223" s="30"/>
      <c r="G223" s="7"/>
      <c r="H223" s="7"/>
      <c r="I223" s="7"/>
      <c r="J223" s="7"/>
      <c r="K223" s="7"/>
      <c r="L223" s="7"/>
      <c r="M223" s="7"/>
      <c r="N223" s="7"/>
      <c r="O223" s="7"/>
      <c r="P223" s="7"/>
      <c r="Q223" s="7"/>
      <c r="R223" s="7"/>
      <c r="S223" s="7"/>
      <c r="T223" s="7"/>
      <c r="U223" s="4"/>
      <c r="V223" s="4"/>
      <c r="W223" s="4"/>
      <c r="X223" s="4"/>
      <c r="Y223" s="4"/>
      <c r="Z223" s="4"/>
    </row>
    <row r="224" spans="1:26" ht="15.75" customHeight="1">
      <c r="A224" s="7"/>
      <c r="B224" s="7"/>
      <c r="C224" s="7"/>
      <c r="D224" s="7"/>
      <c r="E224" s="7"/>
      <c r="F224" s="30"/>
      <c r="G224" s="7"/>
      <c r="H224" s="7"/>
      <c r="I224" s="7"/>
      <c r="J224" s="7"/>
      <c r="K224" s="7"/>
      <c r="L224" s="7"/>
      <c r="M224" s="7"/>
      <c r="N224" s="7"/>
      <c r="O224" s="7"/>
      <c r="P224" s="7"/>
      <c r="Q224" s="7"/>
      <c r="R224" s="7"/>
      <c r="S224" s="7"/>
      <c r="T224" s="7"/>
      <c r="U224" s="4"/>
      <c r="V224" s="4"/>
      <c r="W224" s="4"/>
      <c r="X224" s="4"/>
      <c r="Y224" s="4"/>
      <c r="Z224" s="4"/>
    </row>
    <row r="225" spans="1:26" ht="15.75" customHeight="1">
      <c r="A225" s="7"/>
      <c r="B225" s="7"/>
      <c r="C225" s="7"/>
      <c r="D225" s="7"/>
      <c r="E225" s="7"/>
      <c r="F225" s="30"/>
      <c r="G225" s="7"/>
      <c r="H225" s="7"/>
      <c r="I225" s="7"/>
      <c r="J225" s="7"/>
      <c r="K225" s="7"/>
      <c r="L225" s="7"/>
      <c r="M225" s="7"/>
      <c r="N225" s="7"/>
      <c r="O225" s="7"/>
      <c r="P225" s="7"/>
      <c r="Q225" s="7"/>
      <c r="R225" s="7"/>
      <c r="S225" s="7"/>
      <c r="T225" s="7"/>
      <c r="U225" s="4"/>
      <c r="V225" s="4"/>
      <c r="W225" s="4"/>
      <c r="X225" s="4"/>
      <c r="Y225" s="4"/>
      <c r="Z225" s="4"/>
    </row>
    <row r="226" spans="1:26" ht="15.75" customHeight="1">
      <c r="A226" s="7"/>
      <c r="B226" s="7"/>
      <c r="C226" s="7"/>
      <c r="D226" s="7"/>
      <c r="E226" s="7"/>
      <c r="F226" s="30"/>
      <c r="G226" s="7"/>
      <c r="H226" s="7"/>
      <c r="I226" s="7"/>
      <c r="J226" s="7"/>
      <c r="K226" s="7"/>
      <c r="L226" s="7"/>
      <c r="M226" s="7"/>
      <c r="N226" s="7"/>
      <c r="O226" s="7"/>
      <c r="P226" s="7"/>
      <c r="Q226" s="7"/>
      <c r="R226" s="7"/>
      <c r="S226" s="7"/>
      <c r="T226" s="7"/>
      <c r="U226" s="4"/>
      <c r="V226" s="4"/>
      <c r="W226" s="4"/>
      <c r="X226" s="4"/>
      <c r="Y226" s="4"/>
      <c r="Z226" s="4"/>
    </row>
    <row r="227" spans="1:26" ht="15.75" customHeight="1">
      <c r="A227" s="7"/>
      <c r="B227" s="7"/>
      <c r="C227" s="7"/>
      <c r="D227" s="7"/>
      <c r="E227" s="7"/>
      <c r="F227" s="30"/>
      <c r="G227" s="7"/>
      <c r="H227" s="7"/>
      <c r="I227" s="7"/>
      <c r="J227" s="7"/>
      <c r="K227" s="7"/>
      <c r="L227" s="7"/>
      <c r="M227" s="7"/>
      <c r="N227" s="7"/>
      <c r="O227" s="7"/>
      <c r="P227" s="7"/>
      <c r="Q227" s="7"/>
      <c r="R227" s="7"/>
      <c r="S227" s="7"/>
      <c r="T227" s="7"/>
      <c r="U227" s="4"/>
      <c r="V227" s="4"/>
      <c r="W227" s="4"/>
      <c r="X227" s="4"/>
      <c r="Y227" s="4"/>
      <c r="Z227" s="4"/>
    </row>
    <row r="228" spans="1:26" ht="15.75" customHeight="1">
      <c r="A228" s="7"/>
      <c r="B228" s="7"/>
      <c r="C228" s="7"/>
      <c r="D228" s="7"/>
      <c r="E228" s="7"/>
      <c r="F228" s="30"/>
      <c r="G228" s="7"/>
      <c r="H228" s="7"/>
      <c r="I228" s="7"/>
      <c r="J228" s="7"/>
      <c r="K228" s="7"/>
      <c r="L228" s="7"/>
      <c r="M228" s="7"/>
      <c r="N228" s="7"/>
      <c r="O228" s="7"/>
      <c r="P228" s="7"/>
      <c r="Q228" s="7"/>
      <c r="R228" s="7"/>
      <c r="S228" s="7"/>
      <c r="T228" s="7"/>
      <c r="U228" s="4"/>
      <c r="V228" s="4"/>
      <c r="W228" s="4"/>
      <c r="X228" s="4"/>
      <c r="Y228" s="4"/>
      <c r="Z228" s="4"/>
    </row>
    <row r="229" spans="1:26" ht="15.75" customHeight="1">
      <c r="A229" s="7"/>
      <c r="B229" s="7"/>
      <c r="C229" s="7"/>
      <c r="D229" s="7"/>
      <c r="E229" s="7"/>
      <c r="F229" s="30"/>
      <c r="G229" s="7"/>
      <c r="H229" s="7"/>
      <c r="I229" s="7"/>
      <c r="J229" s="7"/>
      <c r="K229" s="7"/>
      <c r="L229" s="7"/>
      <c r="M229" s="7"/>
      <c r="N229" s="7"/>
      <c r="O229" s="7"/>
      <c r="P229" s="7"/>
      <c r="Q229" s="7"/>
      <c r="R229" s="7"/>
      <c r="S229" s="7"/>
      <c r="T229" s="7"/>
      <c r="U229" s="4"/>
      <c r="V229" s="4"/>
      <c r="W229" s="4"/>
      <c r="X229" s="4"/>
      <c r="Y229" s="4"/>
      <c r="Z229" s="4"/>
    </row>
    <row r="230" spans="1:26" ht="15.75" customHeight="1">
      <c r="A230" s="7"/>
      <c r="B230" s="7"/>
      <c r="C230" s="7"/>
      <c r="D230" s="7"/>
      <c r="E230" s="7"/>
      <c r="F230" s="30"/>
      <c r="G230" s="7"/>
      <c r="H230" s="7"/>
      <c r="I230" s="7"/>
      <c r="J230" s="7"/>
      <c r="K230" s="7"/>
      <c r="L230" s="7"/>
      <c r="M230" s="7"/>
      <c r="N230" s="7"/>
      <c r="O230" s="7"/>
      <c r="P230" s="7"/>
      <c r="Q230" s="7"/>
      <c r="R230" s="7"/>
      <c r="S230" s="7"/>
      <c r="T230" s="7"/>
      <c r="U230" s="4"/>
      <c r="V230" s="4"/>
      <c r="W230" s="4"/>
      <c r="X230" s="4"/>
      <c r="Y230" s="4"/>
      <c r="Z230" s="4"/>
    </row>
    <row r="231" spans="1:26" ht="15.75" customHeight="1">
      <c r="A231" s="7"/>
      <c r="B231" s="7"/>
      <c r="C231" s="7"/>
      <c r="D231" s="7"/>
      <c r="E231" s="7"/>
      <c r="F231" s="30"/>
      <c r="G231" s="7"/>
      <c r="H231" s="7"/>
      <c r="I231" s="7"/>
      <c r="J231" s="7"/>
      <c r="K231" s="7"/>
      <c r="L231" s="7"/>
      <c r="M231" s="7"/>
      <c r="N231" s="7"/>
      <c r="O231" s="7"/>
      <c r="P231" s="7"/>
      <c r="Q231" s="7"/>
      <c r="R231" s="7"/>
      <c r="S231" s="7"/>
      <c r="T231" s="7"/>
      <c r="U231" s="4"/>
      <c r="V231" s="4"/>
      <c r="W231" s="4"/>
      <c r="X231" s="4"/>
      <c r="Y231" s="4"/>
      <c r="Z231" s="4"/>
    </row>
    <row r="232" spans="1:26"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9">
    <mergeCell ref="E25:F25"/>
    <mergeCell ref="E26:F26"/>
    <mergeCell ref="E1:E2"/>
    <mergeCell ref="F1:F2"/>
    <mergeCell ref="C1:C2"/>
    <mergeCell ref="D1:D2"/>
    <mergeCell ref="E22:F22"/>
    <mergeCell ref="E23:F23"/>
    <mergeCell ref="E24:F24"/>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H1004"/>
  <sheetViews>
    <sheetView showGridLines="0" workbookViewId="0">
      <pane ySplit="3" topLeftCell="A74" activePane="bottomLeft" state="frozen"/>
      <selection pane="bottomLeft" activeCell="J98" sqref="J98"/>
    </sheetView>
  </sheetViews>
  <sheetFormatPr defaultColWidth="10.1796875" defaultRowHeight="15" customHeight="1"/>
  <cols>
    <col min="1" max="1" width="2.453125" customWidth="1"/>
    <col min="2" max="2" width="46.54296875" customWidth="1"/>
    <col min="4" max="5" width="10.1796875" hidden="1"/>
  </cols>
  <sheetData>
    <row r="1" spans="1:34" ht="15" customHeight="1">
      <c r="A1" s="5" t="s">
        <v>47</v>
      </c>
      <c r="B1" s="7"/>
      <c r="C1" s="29"/>
      <c r="D1" s="30"/>
      <c r="E1" s="30"/>
      <c r="F1" s="30"/>
      <c r="G1" s="30"/>
      <c r="H1" s="30"/>
      <c r="I1" s="30"/>
      <c r="J1" s="30"/>
      <c r="K1" s="7"/>
      <c r="L1" s="7"/>
      <c r="M1" s="7"/>
      <c r="N1" s="7"/>
      <c r="O1" s="7"/>
      <c r="P1" s="7"/>
      <c r="Q1" s="7"/>
      <c r="R1" s="7"/>
      <c r="S1" s="7"/>
      <c r="T1" s="7"/>
      <c r="U1" s="7"/>
      <c r="V1" s="7"/>
      <c r="W1" s="7"/>
      <c r="X1" s="7"/>
      <c r="Y1" s="7"/>
      <c r="Z1" s="7"/>
      <c r="AA1" s="7"/>
      <c r="AB1" s="7"/>
      <c r="AC1" s="7"/>
      <c r="AD1" s="7"/>
      <c r="AE1" s="7"/>
      <c r="AF1" s="7"/>
      <c r="AG1" s="7"/>
      <c r="AH1" s="7"/>
    </row>
    <row r="2" spans="1:34" ht="15" customHeight="1">
      <c r="A2" s="31"/>
      <c r="B2" s="31"/>
      <c r="C2" s="32"/>
      <c r="D2" s="33"/>
      <c r="E2" s="33"/>
      <c r="F2" s="591" t="s">
        <v>48</v>
      </c>
      <c r="G2" s="592"/>
      <c r="H2" s="592"/>
      <c r="I2" s="592"/>
      <c r="J2" s="593"/>
      <c r="K2" s="591" t="s">
        <v>49</v>
      </c>
      <c r="L2" s="592"/>
      <c r="M2" s="592"/>
      <c r="N2" s="592"/>
      <c r="O2" s="593"/>
      <c r="P2" s="7"/>
      <c r="Q2" s="607"/>
      <c r="R2" s="578"/>
      <c r="S2" s="578"/>
      <c r="T2" s="578"/>
      <c r="U2" s="578"/>
      <c r="V2" s="607"/>
      <c r="W2" s="578"/>
      <c r="X2" s="578"/>
      <c r="Y2" s="578"/>
      <c r="Z2" s="578"/>
      <c r="AA2" s="7"/>
      <c r="AB2" s="7"/>
      <c r="AC2" s="7"/>
      <c r="AD2" s="7"/>
      <c r="AE2" s="7"/>
      <c r="AF2" s="7"/>
      <c r="AG2" s="7"/>
      <c r="AH2" s="7"/>
    </row>
    <row r="3" spans="1:34">
      <c r="A3" s="34" t="s">
        <v>50</v>
      </c>
      <c r="B3" s="35"/>
      <c r="C3" s="36" t="s">
        <v>51</v>
      </c>
      <c r="D3" s="37"/>
      <c r="E3" s="37"/>
      <c r="F3" s="37" t="s">
        <v>17</v>
      </c>
      <c r="G3" s="37" t="s">
        <v>18</v>
      </c>
      <c r="H3" s="37" t="s">
        <v>19</v>
      </c>
      <c r="I3" s="37" t="s">
        <v>20</v>
      </c>
      <c r="J3" s="37" t="s">
        <v>21</v>
      </c>
      <c r="K3" s="38" t="s">
        <v>22</v>
      </c>
      <c r="L3" s="39" t="s">
        <v>23</v>
      </c>
      <c r="M3" s="39" t="s">
        <v>24</v>
      </c>
      <c r="N3" s="39" t="s">
        <v>25</v>
      </c>
      <c r="O3" s="39" t="s">
        <v>26</v>
      </c>
      <c r="P3" s="7"/>
      <c r="Q3" s="40"/>
      <c r="R3" s="40"/>
      <c r="S3" s="40"/>
      <c r="T3" s="40"/>
      <c r="U3" s="40"/>
      <c r="V3" s="41"/>
      <c r="W3" s="41"/>
      <c r="X3" s="41"/>
      <c r="Y3" s="41"/>
      <c r="Z3" s="41"/>
      <c r="AA3" s="7"/>
      <c r="AB3" s="7"/>
      <c r="AC3" s="7"/>
      <c r="AD3" s="7"/>
      <c r="AE3" s="7"/>
      <c r="AF3" s="7"/>
      <c r="AG3" s="7"/>
      <c r="AH3" s="7"/>
    </row>
    <row r="4" spans="1:34" ht="15" customHeight="1">
      <c r="A4" s="7"/>
      <c r="B4" s="7"/>
      <c r="C4" s="557" t="s">
        <v>52</v>
      </c>
      <c r="D4" s="43">
        <f t="shared" ref="D4:F4" si="0">D8+D12+D16+D20+D24+D28+D32</f>
        <v>181897.06278046701</v>
      </c>
      <c r="E4" s="43">
        <f t="shared" si="0"/>
        <v>192909.37756631663</v>
      </c>
      <c r="F4" s="43">
        <f t="shared" si="0"/>
        <v>200228.97602485423</v>
      </c>
      <c r="G4" s="30"/>
      <c r="H4" s="30"/>
      <c r="I4" s="30"/>
      <c r="J4" s="30"/>
      <c r="K4" s="44"/>
      <c r="L4" s="7"/>
      <c r="M4" s="7"/>
      <c r="N4" s="7"/>
      <c r="O4" s="7"/>
      <c r="P4" s="7"/>
      <c r="Q4" s="7"/>
      <c r="R4" s="7"/>
      <c r="S4" s="7"/>
      <c r="T4" s="7"/>
      <c r="U4" s="7"/>
      <c r="V4" s="7"/>
      <c r="W4" s="7"/>
      <c r="X4" s="7"/>
      <c r="Y4" s="7"/>
      <c r="Z4" s="7"/>
      <c r="AA4" s="7"/>
      <c r="AB4" s="7"/>
      <c r="AC4" s="7"/>
      <c r="AD4" s="7"/>
      <c r="AE4" s="7"/>
      <c r="AF4" s="7"/>
      <c r="AG4" s="7"/>
      <c r="AH4" s="7"/>
    </row>
    <row r="5" spans="1:34">
      <c r="A5" s="7"/>
      <c r="B5" s="45" t="s">
        <v>27</v>
      </c>
      <c r="C5" s="46" t="s">
        <v>53</v>
      </c>
      <c r="D5" s="47">
        <v>181896.88099999999</v>
      </c>
      <c r="E5" s="47">
        <v>192909.15299999999</v>
      </c>
      <c r="F5" s="47">
        <v>200228.976</v>
      </c>
      <c r="G5" s="47">
        <f t="shared" ref="G5:O5" si="1">G8+G12+G16+G20+G24+G28+G32</f>
        <v>217981.22500000003</v>
      </c>
      <c r="H5" s="47">
        <f t="shared" si="1"/>
        <v>231090.60399999999</v>
      </c>
      <c r="I5" s="47">
        <f t="shared" si="1"/>
        <v>241981.054</v>
      </c>
      <c r="J5" s="47">
        <f t="shared" si="1"/>
        <v>242173.28700000001</v>
      </c>
      <c r="K5" s="48">
        <f t="shared" si="1"/>
        <v>247698.17407615317</v>
      </c>
      <c r="L5" s="47">
        <f t="shared" si="1"/>
        <v>254065.02382510222</v>
      </c>
      <c r="M5" s="47">
        <f t="shared" si="1"/>
        <v>260828.83061416645</v>
      </c>
      <c r="N5" s="47">
        <f t="shared" si="1"/>
        <v>267310.8264958997</v>
      </c>
      <c r="O5" s="47">
        <f t="shared" si="1"/>
        <v>274156.61678996094</v>
      </c>
      <c r="P5" s="7"/>
      <c r="Q5" s="7"/>
      <c r="R5" s="7"/>
      <c r="S5" s="7"/>
      <c r="T5" s="7"/>
      <c r="U5" s="7"/>
      <c r="V5" s="7"/>
      <c r="W5" s="7"/>
      <c r="X5" s="7"/>
      <c r="Y5" s="7"/>
      <c r="Z5" s="7"/>
      <c r="AA5" s="7"/>
      <c r="AB5" s="7"/>
      <c r="AC5" s="7"/>
      <c r="AD5" s="7"/>
      <c r="AE5" s="7"/>
      <c r="AF5" s="7"/>
      <c r="AG5" s="7"/>
      <c r="AH5" s="7"/>
    </row>
    <row r="6" spans="1:34" ht="15" customHeight="1">
      <c r="A6" s="7"/>
      <c r="B6" s="49" t="s">
        <v>54</v>
      </c>
      <c r="C6" s="29" t="s">
        <v>55</v>
      </c>
      <c r="D6" s="29" t="s">
        <v>56</v>
      </c>
      <c r="E6" s="50">
        <f t="shared" ref="E6:O6" si="2">E5/D5-1</f>
        <v>6.0541290974637452E-2</v>
      </c>
      <c r="F6" s="50">
        <f t="shared" si="2"/>
        <v>3.7944404846357971E-2</v>
      </c>
      <c r="G6" s="50">
        <f t="shared" si="2"/>
        <v>8.8659740236598061E-2</v>
      </c>
      <c r="H6" s="50">
        <f t="shared" si="2"/>
        <v>6.0139945538887352E-2</v>
      </c>
      <c r="I6" s="50">
        <f t="shared" si="2"/>
        <v>4.7126321068423849E-2</v>
      </c>
      <c r="J6" s="50">
        <f t="shared" si="2"/>
        <v>7.9441343370634243E-4</v>
      </c>
      <c r="K6" s="51">
        <f t="shared" si="2"/>
        <v>2.2813775807375203E-2</v>
      </c>
      <c r="L6" s="50">
        <f t="shared" si="2"/>
        <v>2.5704064120358083E-2</v>
      </c>
      <c r="M6" s="50">
        <f t="shared" si="2"/>
        <v>2.662234528480556E-2</v>
      </c>
      <c r="N6" s="50">
        <f t="shared" si="2"/>
        <v>2.4851531429521234E-2</v>
      </c>
      <c r="O6" s="50">
        <f t="shared" si="2"/>
        <v>2.5609850464347828E-2</v>
      </c>
      <c r="P6" s="7"/>
      <c r="Q6" s="7"/>
      <c r="R6" s="52"/>
      <c r="S6" s="52"/>
      <c r="T6" s="52"/>
      <c r="U6" s="52"/>
      <c r="V6" s="52"/>
      <c r="W6" s="52"/>
      <c r="X6" s="52"/>
      <c r="Y6" s="52"/>
      <c r="Z6" s="7"/>
      <c r="AA6" s="7"/>
      <c r="AB6" s="7"/>
      <c r="AC6" s="7"/>
      <c r="AD6" s="7"/>
      <c r="AE6" s="7"/>
      <c r="AF6" s="7"/>
      <c r="AG6" s="7"/>
      <c r="AH6" s="7"/>
    </row>
    <row r="7" spans="1:34" ht="15" customHeight="1">
      <c r="A7" s="7"/>
      <c r="B7" s="5"/>
      <c r="C7" s="29"/>
      <c r="D7" s="30"/>
      <c r="E7" s="30"/>
      <c r="F7" s="30"/>
      <c r="G7" s="30"/>
      <c r="H7" s="30"/>
      <c r="I7" s="30"/>
      <c r="J7" s="30"/>
      <c r="K7" s="53"/>
      <c r="L7" s="30"/>
      <c r="M7" s="30"/>
      <c r="N7" s="30"/>
      <c r="O7" s="30"/>
      <c r="P7" s="7"/>
      <c r="Q7" s="54"/>
      <c r="R7" s="52"/>
      <c r="S7" s="52"/>
      <c r="T7" s="52"/>
      <c r="U7" s="52"/>
      <c r="V7" s="52"/>
      <c r="W7" s="52"/>
      <c r="X7" s="52"/>
      <c r="Y7" s="52"/>
      <c r="Z7" s="54"/>
      <c r="AA7" s="7"/>
      <c r="AB7" s="7"/>
      <c r="AC7" s="7"/>
      <c r="AD7" s="7"/>
      <c r="AE7" s="7"/>
    </row>
    <row r="8" spans="1:34" ht="15" customHeight="1">
      <c r="A8" s="7"/>
      <c r="B8" s="14" t="s">
        <v>57</v>
      </c>
      <c r="C8" s="55" t="s">
        <v>53</v>
      </c>
      <c r="D8" s="56">
        <f t="shared" ref="D8:F8" si="3">D5*D10</f>
        <v>45474.220249999998</v>
      </c>
      <c r="E8" s="56">
        <f t="shared" si="3"/>
        <v>48227.288249999998</v>
      </c>
      <c r="F8" s="56">
        <f t="shared" si="3"/>
        <v>50457.701951999996</v>
      </c>
      <c r="G8" s="57">
        <v>54865.781000000003</v>
      </c>
      <c r="H8" s="57">
        <v>61387.860999999997</v>
      </c>
      <c r="I8" s="57">
        <v>64451.491000000002</v>
      </c>
      <c r="J8" s="57">
        <v>68392.524000000005</v>
      </c>
      <c r="K8" s="58">
        <f t="shared" ref="K8:O8" si="4">J8*(1+K9)</f>
        <v>71470.187579999998</v>
      </c>
      <c r="L8" s="59">
        <f t="shared" si="4"/>
        <v>74328.995083200003</v>
      </c>
      <c r="M8" s="59">
        <f t="shared" si="4"/>
        <v>76930.509911111993</v>
      </c>
      <c r="N8" s="59">
        <f t="shared" si="4"/>
        <v>79238.425208445347</v>
      </c>
      <c r="O8" s="59">
        <f t="shared" si="4"/>
        <v>81219.385838656468</v>
      </c>
      <c r="P8" s="600" t="s">
        <v>58</v>
      </c>
      <c r="Q8" s="608"/>
      <c r="R8" s="608"/>
      <c r="S8" s="608"/>
      <c r="T8" s="608"/>
      <c r="U8" s="608"/>
      <c r="V8" s="608"/>
      <c r="W8" s="52"/>
      <c r="X8" s="52"/>
      <c r="Y8" s="52"/>
      <c r="Z8" s="60"/>
      <c r="AA8" s="7"/>
      <c r="AB8" s="7"/>
      <c r="AC8" s="7"/>
      <c r="AD8" s="7"/>
      <c r="AE8" s="7"/>
    </row>
    <row r="9" spans="1:34" ht="15" customHeight="1">
      <c r="A9" s="7"/>
      <c r="B9" s="49" t="s">
        <v>59</v>
      </c>
      <c r="C9" s="29" t="s">
        <v>55</v>
      </c>
      <c r="D9" s="29" t="s">
        <v>56</v>
      </c>
      <c r="E9" s="61">
        <f t="shared" ref="E9:J9" si="5">(E8/D8)-1</f>
        <v>6.0541290974637452E-2</v>
      </c>
      <c r="F9" s="61">
        <f t="shared" si="5"/>
        <v>4.6247960085128659E-2</v>
      </c>
      <c r="G9" s="61">
        <f t="shared" si="5"/>
        <v>8.7361867018703743E-2</v>
      </c>
      <c r="H9" s="61">
        <f t="shared" si="5"/>
        <v>0.11887336480273558</v>
      </c>
      <c r="I9" s="61">
        <f t="shared" si="5"/>
        <v>4.9906120690538458E-2</v>
      </c>
      <c r="J9" s="61">
        <f t="shared" si="5"/>
        <v>6.1147274312086886E-2</v>
      </c>
      <c r="K9" s="62">
        <v>4.4999999999999998E-2</v>
      </c>
      <c r="L9" s="63">
        <v>0.04</v>
      </c>
      <c r="M9" s="63">
        <v>3.5000000000000003E-2</v>
      </c>
      <c r="N9" s="63">
        <v>0.03</v>
      </c>
      <c r="O9" s="63">
        <v>2.5000000000000001E-2</v>
      </c>
      <c r="P9" s="608"/>
      <c r="Q9" s="608"/>
      <c r="R9" s="608"/>
      <c r="S9" s="608"/>
      <c r="T9" s="608"/>
      <c r="U9" s="608"/>
      <c r="V9" s="608"/>
      <c r="W9" s="52"/>
      <c r="X9" s="52"/>
      <c r="Y9" s="52"/>
      <c r="Z9" s="64"/>
      <c r="AA9" s="7"/>
      <c r="AB9" s="7"/>
      <c r="AC9" s="7"/>
      <c r="AD9" s="7"/>
      <c r="AE9" s="7"/>
    </row>
    <row r="10" spans="1:34" ht="15" customHeight="1">
      <c r="A10" s="4"/>
      <c r="B10" s="65" t="s">
        <v>60</v>
      </c>
      <c r="C10" s="66" t="s">
        <v>55</v>
      </c>
      <c r="D10" s="67">
        <v>0.25</v>
      </c>
      <c r="E10" s="68">
        <v>0.25</v>
      </c>
      <c r="F10" s="69">
        <v>0.252</v>
      </c>
      <c r="G10" s="68">
        <f t="shared" ref="G10:O10" si="6">G8/G5</f>
        <v>0.25169957183239056</v>
      </c>
      <c r="H10" s="68">
        <f t="shared" si="6"/>
        <v>0.26564412372213975</v>
      </c>
      <c r="I10" s="68">
        <f t="shared" si="6"/>
        <v>0.2663493274973503</v>
      </c>
      <c r="J10" s="68">
        <f t="shared" si="6"/>
        <v>0.28241151139018894</v>
      </c>
      <c r="K10" s="70">
        <f t="shared" si="6"/>
        <v>0.28853740180590498</v>
      </c>
      <c r="L10" s="68">
        <f t="shared" si="6"/>
        <v>0.29255894402201504</v>
      </c>
      <c r="M10" s="68">
        <f t="shared" si="6"/>
        <v>0.29494634366134237</v>
      </c>
      <c r="N10" s="68">
        <f t="shared" si="6"/>
        <v>0.29642804314048532</v>
      </c>
      <c r="O10" s="68">
        <f t="shared" si="6"/>
        <v>0.29625178042257838</v>
      </c>
      <c r="P10" s="540"/>
      <c r="Q10" s="540"/>
      <c r="R10" s="540"/>
      <c r="S10" s="540"/>
      <c r="T10" s="540"/>
      <c r="U10" s="540"/>
      <c r="V10" s="540"/>
      <c r="W10" s="4"/>
      <c r="X10" s="4"/>
      <c r="Y10" s="4"/>
      <c r="Z10" s="4"/>
      <c r="AA10" s="4"/>
      <c r="AB10" s="4"/>
      <c r="AC10" s="4"/>
      <c r="AD10" s="72"/>
      <c r="AE10" s="72"/>
      <c r="AF10" s="73"/>
      <c r="AG10" s="73"/>
      <c r="AH10" s="73"/>
    </row>
    <row r="11" spans="1:34" ht="15" customHeight="1">
      <c r="A11" s="7"/>
      <c r="B11" s="49"/>
      <c r="C11" s="29"/>
      <c r="D11" s="74"/>
      <c r="E11" s="74"/>
      <c r="F11" s="74"/>
      <c r="G11" s="61"/>
      <c r="H11" s="61"/>
      <c r="I11" s="61"/>
      <c r="J11" s="61"/>
      <c r="K11" s="75"/>
      <c r="L11" s="61"/>
      <c r="M11" s="61"/>
      <c r="N11" s="61"/>
      <c r="O11" s="61"/>
      <c r="P11" s="540"/>
      <c r="Q11" s="541"/>
      <c r="R11" s="542"/>
      <c r="S11" s="542"/>
      <c r="T11" s="542"/>
      <c r="U11" s="542"/>
      <c r="V11" s="542"/>
      <c r="W11" s="52"/>
      <c r="X11" s="52"/>
      <c r="Y11" s="52"/>
      <c r="Z11" s="60"/>
      <c r="AA11" s="7"/>
      <c r="AB11" s="7"/>
      <c r="AC11" s="7"/>
      <c r="AD11" s="7"/>
      <c r="AE11" s="7"/>
    </row>
    <row r="12" spans="1:34">
      <c r="A12" s="7"/>
      <c r="B12" s="14" t="s">
        <v>61</v>
      </c>
      <c r="C12" s="55" t="s">
        <v>53</v>
      </c>
      <c r="D12" s="56">
        <f t="shared" ref="D12:F12" si="7">D5*D14</f>
        <v>16552.616170999998</v>
      </c>
      <c r="E12" s="56">
        <f t="shared" si="7"/>
        <v>17940.551229000001</v>
      </c>
      <c r="F12" s="56">
        <f t="shared" si="7"/>
        <v>19021.75272</v>
      </c>
      <c r="G12" s="57">
        <v>20967.563999999998</v>
      </c>
      <c r="H12" s="57">
        <v>22683.954000000002</v>
      </c>
      <c r="I12" s="57">
        <v>22867.946</v>
      </c>
      <c r="J12" s="57">
        <v>23486.052</v>
      </c>
      <c r="K12" s="58">
        <f t="shared" ref="K12:O12" si="8">J12*(1+K13)</f>
        <v>24190.633560000002</v>
      </c>
      <c r="L12" s="59">
        <f t="shared" si="8"/>
        <v>24916.352566800004</v>
      </c>
      <c r="M12" s="59">
        <f t="shared" si="8"/>
        <v>25663.843143804006</v>
      </c>
      <c r="N12" s="59">
        <f t="shared" si="8"/>
        <v>26433.758438118126</v>
      </c>
      <c r="O12" s="59">
        <f t="shared" si="8"/>
        <v>27226.771191261669</v>
      </c>
      <c r="P12" s="600" t="s">
        <v>62</v>
      </c>
      <c r="Q12" s="608"/>
      <c r="R12" s="608"/>
      <c r="S12" s="608"/>
      <c r="T12" s="608"/>
      <c r="U12" s="608"/>
      <c r="V12" s="608"/>
      <c r="W12" s="52"/>
      <c r="X12" s="52"/>
      <c r="Y12" s="52"/>
      <c r="Z12" s="60"/>
      <c r="AA12" s="7"/>
      <c r="AB12" s="7"/>
      <c r="AC12" s="7"/>
      <c r="AD12" s="7"/>
      <c r="AE12" s="7"/>
    </row>
    <row r="13" spans="1:34" ht="15" customHeight="1">
      <c r="A13" s="7"/>
      <c r="B13" s="49" t="s">
        <v>59</v>
      </c>
      <c r="C13" s="29" t="s">
        <v>55</v>
      </c>
      <c r="D13" s="29" t="s">
        <v>56</v>
      </c>
      <c r="E13" s="61">
        <f t="shared" ref="E13:J13" si="9">(E12/D12)-1</f>
        <v>8.3849890776277913E-2</v>
      </c>
      <c r="F13" s="61">
        <f t="shared" si="9"/>
        <v>6.0265789896817301E-2</v>
      </c>
      <c r="G13" s="61">
        <f t="shared" si="9"/>
        <v>0.10229400563882418</v>
      </c>
      <c r="H13" s="61">
        <f t="shared" si="9"/>
        <v>8.1859294670568516E-2</v>
      </c>
      <c r="I13" s="61">
        <f t="shared" si="9"/>
        <v>8.111107966450648E-3</v>
      </c>
      <c r="J13" s="61">
        <f t="shared" si="9"/>
        <v>2.7029362409723978E-2</v>
      </c>
      <c r="K13" s="62">
        <v>0.03</v>
      </c>
      <c r="L13" s="63">
        <v>0.03</v>
      </c>
      <c r="M13" s="63">
        <v>0.03</v>
      </c>
      <c r="N13" s="63">
        <v>0.03</v>
      </c>
      <c r="O13" s="63">
        <v>0.03</v>
      </c>
      <c r="P13" s="608"/>
      <c r="Q13" s="608"/>
      <c r="R13" s="608"/>
      <c r="S13" s="608"/>
      <c r="T13" s="608"/>
      <c r="U13" s="608"/>
      <c r="V13" s="608"/>
      <c r="W13" s="52"/>
      <c r="X13" s="52"/>
      <c r="Y13" s="52"/>
      <c r="Z13" s="60"/>
      <c r="AA13" s="7"/>
      <c r="AB13" s="7"/>
      <c r="AC13" s="7"/>
      <c r="AD13" s="7"/>
      <c r="AE13" s="7"/>
    </row>
    <row r="14" spans="1:34" ht="15" customHeight="1">
      <c r="A14" s="4"/>
      <c r="B14" s="65" t="s">
        <v>63</v>
      </c>
      <c r="C14" s="66" t="s">
        <v>55</v>
      </c>
      <c r="D14" s="67">
        <v>9.0999999999999998E-2</v>
      </c>
      <c r="E14" s="68">
        <v>9.2999999999999999E-2</v>
      </c>
      <c r="F14" s="69">
        <v>9.5000000000000001E-2</v>
      </c>
      <c r="G14" s="68">
        <f t="shared" ref="G14:O14" si="10">G12/G5</f>
        <v>9.618977047220463E-2</v>
      </c>
      <c r="H14" s="68">
        <f t="shared" si="10"/>
        <v>9.8160434078055386E-2</v>
      </c>
      <c r="I14" s="68">
        <f t="shared" si="10"/>
        <v>9.4503043201059858E-2</v>
      </c>
      <c r="J14" s="68">
        <f t="shared" si="10"/>
        <v>9.6980357705596154E-2</v>
      </c>
      <c r="K14" s="70">
        <f t="shared" si="10"/>
        <v>9.7661735498150062E-2</v>
      </c>
      <c r="L14" s="68">
        <f t="shared" si="10"/>
        <v>9.8070770197602491E-2</v>
      </c>
      <c r="M14" s="68">
        <f t="shared" si="10"/>
        <v>9.8393429450931713E-2</v>
      </c>
      <c r="N14" s="68">
        <f t="shared" si="10"/>
        <v>9.888772102735463E-2</v>
      </c>
      <c r="O14" s="68">
        <f t="shared" si="10"/>
        <v>9.9311012479121968E-2</v>
      </c>
      <c r="P14" s="540"/>
      <c r="Q14" s="540"/>
      <c r="R14" s="540"/>
      <c r="S14" s="540"/>
      <c r="T14" s="540"/>
      <c r="U14" s="540"/>
      <c r="V14" s="540"/>
      <c r="W14" s="4"/>
      <c r="X14" s="4"/>
      <c r="Y14" s="4"/>
      <c r="Z14" s="4"/>
      <c r="AA14" s="4"/>
      <c r="AB14" s="4"/>
      <c r="AC14" s="4"/>
      <c r="AD14" s="72"/>
      <c r="AE14" s="72"/>
      <c r="AF14" s="73"/>
      <c r="AG14" s="73"/>
      <c r="AH14" s="73"/>
    </row>
    <row r="15" spans="1:34" ht="15" customHeight="1">
      <c r="A15" s="7"/>
      <c r="B15" s="49"/>
      <c r="C15" s="29"/>
      <c r="D15" s="74"/>
      <c r="E15" s="74"/>
      <c r="F15" s="74"/>
      <c r="G15" s="61"/>
      <c r="H15" s="61"/>
      <c r="I15" s="61"/>
      <c r="J15" s="61"/>
      <c r="K15" s="75"/>
      <c r="L15" s="61"/>
      <c r="M15" s="61"/>
      <c r="N15" s="61"/>
      <c r="O15" s="61"/>
      <c r="P15" s="540"/>
      <c r="Q15" s="543"/>
      <c r="R15" s="542"/>
      <c r="S15" s="542"/>
      <c r="T15" s="542"/>
      <c r="U15" s="542"/>
      <c r="V15" s="542"/>
      <c r="W15" s="52"/>
      <c r="X15" s="52"/>
      <c r="Y15" s="52"/>
      <c r="Z15" s="64"/>
      <c r="AA15" s="7"/>
      <c r="AB15" s="7"/>
      <c r="AC15" s="7"/>
      <c r="AD15" s="7"/>
      <c r="AE15" s="7"/>
    </row>
    <row r="16" spans="1:34">
      <c r="A16" s="7"/>
      <c r="B16" s="14" t="s">
        <v>64</v>
      </c>
      <c r="C16" s="55" t="s">
        <v>53</v>
      </c>
      <c r="D16" s="56">
        <f t="shared" ref="D16:F16" si="11">D18*D5</f>
        <v>92767.409310000003</v>
      </c>
      <c r="E16" s="56">
        <f t="shared" si="11"/>
        <v>98769.486336000002</v>
      </c>
      <c r="F16" s="56">
        <f t="shared" si="11"/>
        <v>103318.151616</v>
      </c>
      <c r="G16" s="57">
        <v>113658.55100000001</v>
      </c>
      <c r="H16" s="57">
        <v>118375.762</v>
      </c>
      <c r="I16" s="57">
        <v>120598.181</v>
      </c>
      <c r="J16" s="57">
        <v>117617.288</v>
      </c>
      <c r="K16" s="58">
        <f t="shared" ref="K16:O16" si="12">J16*(1+K17)</f>
        <v>118793.46088</v>
      </c>
      <c r="L16" s="59">
        <f t="shared" si="12"/>
        <v>120575.36279319998</v>
      </c>
      <c r="M16" s="59">
        <f t="shared" si="12"/>
        <v>122986.87004906397</v>
      </c>
      <c r="N16" s="59">
        <f t="shared" si="12"/>
        <v>125446.60745004525</v>
      </c>
      <c r="O16" s="59">
        <f t="shared" si="12"/>
        <v>128582.77263629637</v>
      </c>
      <c r="P16" s="600" t="s">
        <v>65</v>
      </c>
      <c r="Q16" s="608"/>
      <c r="R16" s="608"/>
      <c r="S16" s="608"/>
      <c r="T16" s="608"/>
      <c r="U16" s="608"/>
      <c r="V16" s="608"/>
      <c r="W16" s="52"/>
      <c r="X16" s="52"/>
      <c r="Y16" s="52"/>
      <c r="Z16" s="60"/>
      <c r="AA16" s="7"/>
      <c r="AB16" s="7"/>
      <c r="AC16" s="7"/>
      <c r="AD16" s="7"/>
      <c r="AE16" s="7"/>
    </row>
    <row r="17" spans="1:34" ht="15" customHeight="1">
      <c r="A17" s="7"/>
      <c r="B17" s="49" t="s">
        <v>59</v>
      </c>
      <c r="C17" s="29" t="s">
        <v>55</v>
      </c>
      <c r="D17" s="29" t="s">
        <v>56</v>
      </c>
      <c r="E17" s="61">
        <f t="shared" ref="E17:J17" si="13">(E16/D16)-1</f>
        <v>6.4700276429439985E-2</v>
      </c>
      <c r="F17" s="61">
        <f t="shared" si="13"/>
        <v>4.6053345509220023E-2</v>
      </c>
      <c r="G17" s="61">
        <f t="shared" si="13"/>
        <v>0.10008308532688348</v>
      </c>
      <c r="H17" s="61">
        <f t="shared" si="13"/>
        <v>4.1503353320068159E-2</v>
      </c>
      <c r="I17" s="61">
        <f t="shared" si="13"/>
        <v>1.8774274078168007E-2</v>
      </c>
      <c r="J17" s="61">
        <f t="shared" si="13"/>
        <v>-2.4717561867703464E-2</v>
      </c>
      <c r="K17" s="76">
        <v>0.01</v>
      </c>
      <c r="L17" s="74">
        <v>1.4999999999999999E-2</v>
      </c>
      <c r="M17" s="74">
        <v>0.02</v>
      </c>
      <c r="N17" s="74">
        <v>0.02</v>
      </c>
      <c r="O17" s="74">
        <v>2.5000000000000001E-2</v>
      </c>
      <c r="P17" s="608"/>
      <c r="Q17" s="608"/>
      <c r="R17" s="608"/>
      <c r="S17" s="608"/>
      <c r="T17" s="608"/>
      <c r="U17" s="608"/>
      <c r="V17" s="608"/>
      <c r="W17" s="52"/>
      <c r="X17" s="52"/>
      <c r="Y17" s="52"/>
      <c r="Z17" s="60"/>
      <c r="AA17" s="7"/>
      <c r="AB17" s="7"/>
      <c r="AC17" s="7"/>
      <c r="AD17" s="7"/>
      <c r="AE17" s="7"/>
    </row>
    <row r="18" spans="1:34" ht="15" customHeight="1">
      <c r="A18" s="4"/>
      <c r="B18" s="65" t="s">
        <v>66</v>
      </c>
      <c r="C18" s="66" t="s">
        <v>55</v>
      </c>
      <c r="D18" s="67">
        <v>0.51</v>
      </c>
      <c r="E18" s="68">
        <v>0.51200000000000001</v>
      </c>
      <c r="F18" s="69">
        <v>0.51600000000000001</v>
      </c>
      <c r="G18" s="68">
        <f t="shared" ref="G18:O18" si="14">G16/G5</f>
        <v>0.52141440621778312</v>
      </c>
      <c r="H18" s="68">
        <f t="shared" si="14"/>
        <v>0.51224826951423785</v>
      </c>
      <c r="I18" s="68">
        <f t="shared" si="14"/>
        <v>0.49837860859966332</v>
      </c>
      <c r="J18" s="68">
        <f t="shared" si="14"/>
        <v>0.48567407849570127</v>
      </c>
      <c r="K18" s="70">
        <f t="shared" si="14"/>
        <v>0.47958957034329097</v>
      </c>
      <c r="L18" s="68">
        <f t="shared" si="14"/>
        <v>0.47458465938311833</v>
      </c>
      <c r="M18" s="68">
        <f t="shared" si="14"/>
        <v>0.47152329655993236</v>
      </c>
      <c r="N18" s="68">
        <f t="shared" si="14"/>
        <v>0.46929115851568204</v>
      </c>
      <c r="O18" s="68">
        <f t="shared" si="14"/>
        <v>0.46901210753854333</v>
      </c>
      <c r="P18" s="540"/>
      <c r="Q18" s="540"/>
      <c r="R18" s="540"/>
      <c r="S18" s="540"/>
      <c r="T18" s="540"/>
      <c r="U18" s="540"/>
      <c r="V18" s="540"/>
      <c r="W18" s="4"/>
      <c r="X18" s="4"/>
      <c r="Y18" s="4"/>
      <c r="Z18" s="4"/>
      <c r="AA18" s="4"/>
      <c r="AB18" s="4"/>
      <c r="AC18" s="4"/>
      <c r="AD18" s="72"/>
      <c r="AE18" s="72"/>
      <c r="AF18" s="73"/>
      <c r="AG18" s="73"/>
      <c r="AH18" s="73"/>
    </row>
    <row r="19" spans="1:34" ht="15" customHeight="1">
      <c r="A19" s="7"/>
      <c r="B19" s="49"/>
      <c r="C19" s="29"/>
      <c r="D19" s="74"/>
      <c r="E19" s="74"/>
      <c r="F19" s="74"/>
      <c r="G19" s="61"/>
      <c r="H19" s="61"/>
      <c r="I19" s="61"/>
      <c r="J19" s="61"/>
      <c r="K19" s="75"/>
      <c r="L19" s="61"/>
      <c r="M19" s="61"/>
      <c r="N19" s="61"/>
      <c r="O19" s="61"/>
      <c r="P19" s="540"/>
      <c r="Q19" s="541"/>
      <c r="R19" s="542"/>
      <c r="S19" s="542"/>
      <c r="T19" s="542"/>
      <c r="U19" s="542"/>
      <c r="V19" s="542"/>
      <c r="W19" s="52"/>
      <c r="X19" s="52"/>
      <c r="Y19" s="52"/>
      <c r="Z19" s="60"/>
      <c r="AA19" s="7"/>
      <c r="AB19" s="7"/>
      <c r="AC19" s="7"/>
      <c r="AD19" s="7"/>
      <c r="AE19" s="7"/>
    </row>
    <row r="20" spans="1:34">
      <c r="A20" s="7"/>
      <c r="B20" s="14" t="s">
        <v>67</v>
      </c>
      <c r="C20" s="55" t="s">
        <v>53</v>
      </c>
      <c r="D20" s="56">
        <f t="shared" ref="D20:F20" si="15">D22*(D8+D12)</f>
        <v>13216.67830458668</v>
      </c>
      <c r="E20" s="56">
        <f t="shared" si="15"/>
        <v>13233.567895800001</v>
      </c>
      <c r="F20" s="56">
        <f t="shared" si="15"/>
        <v>12506.301840959999</v>
      </c>
      <c r="G20" s="57">
        <v>11598.018</v>
      </c>
      <c r="H20" s="57">
        <v>10153.56</v>
      </c>
      <c r="I20" s="57">
        <v>9834.9269999999997</v>
      </c>
      <c r="J20" s="57">
        <v>8298.4830000000002</v>
      </c>
      <c r="K20" s="58">
        <f t="shared" ref="K20:O20" si="16">K22*(K8+K12)</f>
        <v>8609.4739025999988</v>
      </c>
      <c r="L20" s="59">
        <f t="shared" si="16"/>
        <v>8932.0812885000014</v>
      </c>
      <c r="M20" s="59">
        <f t="shared" si="16"/>
        <v>9233.4917749424385</v>
      </c>
      <c r="N20" s="59">
        <f t="shared" si="16"/>
        <v>9510.4965281907116</v>
      </c>
      <c r="O20" s="59">
        <f t="shared" si="16"/>
        <v>9760.1541326926308</v>
      </c>
      <c r="P20" s="537"/>
      <c r="Q20" s="544"/>
      <c r="R20" s="542"/>
      <c r="S20" s="542"/>
      <c r="T20" s="542"/>
      <c r="U20" s="542"/>
      <c r="V20" s="542"/>
      <c r="W20" s="52"/>
      <c r="X20" s="52"/>
      <c r="Y20" s="52"/>
      <c r="Z20" s="64"/>
      <c r="AA20" s="7"/>
      <c r="AB20" s="7"/>
      <c r="AC20" s="7"/>
      <c r="AD20" s="7"/>
      <c r="AE20" s="7"/>
    </row>
    <row r="21" spans="1:34" ht="15" customHeight="1">
      <c r="A21" s="7"/>
      <c r="B21" s="49" t="s">
        <v>59</v>
      </c>
      <c r="C21" s="29" t="s">
        <v>55</v>
      </c>
      <c r="D21" s="29" t="s">
        <v>56</v>
      </c>
      <c r="E21" s="61">
        <f t="shared" ref="E21:O21" si="17">(E20/D20)-1</f>
        <v>1.2778998492730675E-3</v>
      </c>
      <c r="F21" s="61">
        <f t="shared" si="17"/>
        <v>-5.4956158502864283E-2</v>
      </c>
      <c r="G21" s="61">
        <f t="shared" si="17"/>
        <v>-7.2626093029774297E-2</v>
      </c>
      <c r="H21" s="61">
        <f t="shared" si="17"/>
        <v>-0.12454352114300915</v>
      </c>
      <c r="I21" s="61">
        <f t="shared" si="17"/>
        <v>-3.1381407112382242E-2</v>
      </c>
      <c r="J21" s="61">
        <f t="shared" si="17"/>
        <v>-0.15622322361925001</v>
      </c>
      <c r="K21" s="75">
        <f t="shared" si="17"/>
        <v>3.7475632907845835E-2</v>
      </c>
      <c r="L21" s="61">
        <f t="shared" si="17"/>
        <v>3.7471207828689401E-2</v>
      </c>
      <c r="M21" s="61">
        <f t="shared" si="17"/>
        <v>3.3744709290823627E-2</v>
      </c>
      <c r="N21" s="61">
        <f t="shared" si="17"/>
        <v>3.0000000000000027E-2</v>
      </c>
      <c r="O21" s="61">
        <f t="shared" si="17"/>
        <v>2.6250743456126768E-2</v>
      </c>
      <c r="P21" s="540"/>
      <c r="Q21" s="544"/>
      <c r="R21" s="542"/>
      <c r="S21" s="542"/>
      <c r="T21" s="542"/>
      <c r="U21" s="542"/>
      <c r="V21" s="542"/>
      <c r="W21" s="52"/>
      <c r="X21" s="52"/>
      <c r="Y21" s="52"/>
      <c r="Z21" s="64"/>
      <c r="AA21" s="7"/>
      <c r="AB21" s="7"/>
      <c r="AC21" s="7"/>
      <c r="AD21" s="7"/>
      <c r="AE21" s="7"/>
    </row>
    <row r="22" spans="1:34" ht="15" customHeight="1">
      <c r="A22" s="4"/>
      <c r="B22" s="65" t="s">
        <v>68</v>
      </c>
      <c r="C22" s="66" t="s">
        <v>55</v>
      </c>
      <c r="D22" s="67">
        <v>0.21307999999999999</v>
      </c>
      <c r="E22" s="68">
        <v>0.2</v>
      </c>
      <c r="F22" s="69">
        <v>0.18</v>
      </c>
      <c r="G22" s="68">
        <f t="shared" ref="G22:J22" si="18">G20/(G8+G12)</f>
        <v>0.1529408731739316</v>
      </c>
      <c r="H22" s="68">
        <f t="shared" si="18"/>
        <v>0.12077246102037882</v>
      </c>
      <c r="I22" s="68">
        <f t="shared" si="18"/>
        <v>0.1126315896883302</v>
      </c>
      <c r="J22" s="68">
        <f t="shared" si="18"/>
        <v>9.0320109009961153E-2</v>
      </c>
      <c r="K22" s="70">
        <v>0.09</v>
      </c>
      <c r="L22" s="68">
        <v>0.09</v>
      </c>
      <c r="M22" s="68">
        <v>0.09</v>
      </c>
      <c r="N22" s="68">
        <v>0.09</v>
      </c>
      <c r="O22" s="68">
        <v>0.09</v>
      </c>
      <c r="P22" s="540"/>
      <c r="Q22" s="540"/>
      <c r="R22" s="540"/>
      <c r="S22" s="540"/>
      <c r="T22" s="540"/>
      <c r="U22" s="540"/>
      <c r="V22" s="540"/>
      <c r="W22" s="4"/>
      <c r="X22" s="4"/>
      <c r="Y22" s="4"/>
      <c r="Z22" s="4"/>
      <c r="AA22" s="4"/>
      <c r="AB22" s="4"/>
      <c r="AC22" s="4"/>
      <c r="AD22" s="72"/>
      <c r="AE22" s="72"/>
      <c r="AF22" s="73"/>
      <c r="AG22" s="73"/>
      <c r="AH22" s="73"/>
    </row>
    <row r="23" spans="1:34" ht="15" customHeight="1">
      <c r="A23" s="7"/>
      <c r="B23" s="49"/>
      <c r="C23" s="29"/>
      <c r="D23" s="74"/>
      <c r="E23" s="74"/>
      <c r="F23" s="74"/>
      <c r="G23" s="61"/>
      <c r="H23" s="61"/>
      <c r="I23" s="61"/>
      <c r="J23" s="61"/>
      <c r="K23" s="76"/>
      <c r="L23" s="74"/>
      <c r="M23" s="74"/>
      <c r="N23" s="74"/>
      <c r="O23" s="74"/>
      <c r="P23" s="540"/>
      <c r="Q23" s="544"/>
      <c r="R23" s="542"/>
      <c r="S23" s="542"/>
      <c r="T23" s="542"/>
      <c r="U23" s="542"/>
      <c r="V23" s="542"/>
      <c r="W23" s="52"/>
      <c r="X23" s="52"/>
      <c r="Y23" s="52"/>
      <c r="Z23" s="64"/>
      <c r="AA23" s="7"/>
      <c r="AB23" s="7"/>
      <c r="AC23" s="7"/>
      <c r="AD23" s="7"/>
      <c r="AE23" s="7"/>
    </row>
    <row r="24" spans="1:34">
      <c r="A24" s="7"/>
      <c r="B24" s="14" t="s">
        <v>69</v>
      </c>
      <c r="C24" s="55" t="s">
        <v>53</v>
      </c>
      <c r="D24" s="56">
        <f t="shared" ref="D24:F24" si="19">D26*D16</f>
        <v>8441.8342472099994</v>
      </c>
      <c r="E24" s="56">
        <f t="shared" si="19"/>
        <v>8592.9453112319989</v>
      </c>
      <c r="F24" s="56">
        <f t="shared" si="19"/>
        <v>8265.45212928</v>
      </c>
      <c r="G24" s="57">
        <v>8833.2379999999994</v>
      </c>
      <c r="H24" s="57">
        <v>9037.5300000000007</v>
      </c>
      <c r="I24" s="57">
        <v>8889.7119999999995</v>
      </c>
      <c r="J24" s="57">
        <v>9587.2659999999996</v>
      </c>
      <c r="K24" s="58">
        <f t="shared" ref="K24:O24" si="20">K26*(K16)</f>
        <v>9503.4768703999998</v>
      </c>
      <c r="L24" s="59">
        <f t="shared" si="20"/>
        <v>9646.029023455998</v>
      </c>
      <c r="M24" s="59">
        <f t="shared" si="20"/>
        <v>9838.9496039251189</v>
      </c>
      <c r="N24" s="59">
        <f t="shared" si="20"/>
        <v>10035.728596003621</v>
      </c>
      <c r="O24" s="59">
        <f t="shared" si="20"/>
        <v>10286.621810903711</v>
      </c>
      <c r="P24" s="600" t="s">
        <v>71</v>
      </c>
      <c r="Q24" s="608"/>
      <c r="R24" s="608"/>
      <c r="S24" s="608"/>
      <c r="T24" s="608"/>
      <c r="U24" s="608"/>
      <c r="V24" s="608"/>
      <c r="W24" s="52"/>
      <c r="X24" s="52"/>
      <c r="Y24" s="52"/>
      <c r="Z24" s="64"/>
      <c r="AA24" s="7"/>
      <c r="AB24" s="7"/>
      <c r="AC24" s="7"/>
      <c r="AD24" s="7"/>
      <c r="AE24" s="7"/>
    </row>
    <row r="25" spans="1:34" ht="15" customHeight="1">
      <c r="A25" s="7"/>
      <c r="B25" s="49" t="s">
        <v>59</v>
      </c>
      <c r="C25" s="29" t="s">
        <v>55</v>
      </c>
      <c r="D25" s="29" t="s">
        <v>56</v>
      </c>
      <c r="E25" s="61">
        <f t="shared" ref="E25:O25" si="21">(E24/D24)-1</f>
        <v>1.7900264278695177E-2</v>
      </c>
      <c r="F25" s="61">
        <f t="shared" si="21"/>
        <v>-3.8111866198418221E-2</v>
      </c>
      <c r="G25" s="61">
        <f t="shared" si="21"/>
        <v>6.8693867176199852E-2</v>
      </c>
      <c r="H25" s="61">
        <f t="shared" si="21"/>
        <v>2.3127645830441912E-2</v>
      </c>
      <c r="I25" s="61">
        <f t="shared" si="21"/>
        <v>-1.635601762871064E-2</v>
      </c>
      <c r="J25" s="61">
        <f t="shared" si="21"/>
        <v>7.8467558904045553E-2</v>
      </c>
      <c r="K25" s="75">
        <f t="shared" si="21"/>
        <v>-8.7396270845098156E-3</v>
      </c>
      <c r="L25" s="61">
        <f t="shared" si="21"/>
        <v>1.4999999999999902E-2</v>
      </c>
      <c r="M25" s="61">
        <f t="shared" si="21"/>
        <v>2.0000000000000018E-2</v>
      </c>
      <c r="N25" s="61">
        <f t="shared" si="21"/>
        <v>2.0000000000000018E-2</v>
      </c>
      <c r="O25" s="61">
        <f t="shared" si="21"/>
        <v>2.4999999999999911E-2</v>
      </c>
      <c r="P25" s="608"/>
      <c r="Q25" s="608"/>
      <c r="R25" s="608"/>
      <c r="S25" s="608"/>
      <c r="T25" s="608"/>
      <c r="U25" s="608"/>
      <c r="V25" s="608"/>
      <c r="W25" s="52"/>
      <c r="X25" s="52"/>
      <c r="Y25" s="52"/>
      <c r="Z25" s="64"/>
      <c r="AA25" s="7"/>
      <c r="AB25" s="7"/>
      <c r="AC25" s="7"/>
      <c r="AD25" s="7"/>
      <c r="AE25" s="7"/>
    </row>
    <row r="26" spans="1:34" ht="15" customHeight="1">
      <c r="A26" s="4"/>
      <c r="B26" s="65" t="s">
        <v>72</v>
      </c>
      <c r="C26" s="66" t="s">
        <v>55</v>
      </c>
      <c r="D26" s="67">
        <v>9.0999999999999998E-2</v>
      </c>
      <c r="E26" s="68">
        <v>8.6999999999999994E-2</v>
      </c>
      <c r="F26" s="69">
        <v>0.08</v>
      </c>
      <c r="G26" s="68">
        <f t="shared" ref="G26:J26" si="22">G24/(G16)</f>
        <v>7.7717320186494354E-2</v>
      </c>
      <c r="H26" s="68">
        <f t="shared" si="22"/>
        <v>7.6346118895521869E-2</v>
      </c>
      <c r="I26" s="68">
        <f t="shared" si="22"/>
        <v>7.371348329043205E-2</v>
      </c>
      <c r="J26" s="68">
        <f t="shared" si="22"/>
        <v>8.1512387872775982E-2</v>
      </c>
      <c r="K26" s="70">
        <v>0.08</v>
      </c>
      <c r="L26" s="68">
        <v>0.08</v>
      </c>
      <c r="M26" s="68">
        <v>0.08</v>
      </c>
      <c r="N26" s="68">
        <v>0.08</v>
      </c>
      <c r="O26" s="68">
        <v>0.08</v>
      </c>
      <c r="P26" s="540"/>
      <c r="Q26" s="540"/>
      <c r="R26" s="540"/>
      <c r="S26" s="540"/>
      <c r="T26" s="540"/>
      <c r="U26" s="540"/>
      <c r="V26" s="540"/>
      <c r="W26" s="4"/>
      <c r="X26" s="4"/>
      <c r="Y26" s="4"/>
      <c r="Z26" s="4"/>
      <c r="AA26" s="4"/>
      <c r="AB26" s="4"/>
      <c r="AC26" s="4"/>
      <c r="AD26" s="72"/>
      <c r="AE26" s="72"/>
      <c r="AF26" s="73"/>
      <c r="AG26" s="73"/>
      <c r="AH26" s="73"/>
    </row>
    <row r="27" spans="1:34" ht="15" customHeight="1">
      <c r="A27" s="7"/>
      <c r="B27" s="49"/>
      <c r="C27" s="29"/>
      <c r="D27" s="74"/>
      <c r="E27" s="74"/>
      <c r="F27" s="74"/>
      <c r="G27" s="61"/>
      <c r="H27" s="61"/>
      <c r="I27" s="61"/>
      <c r="J27" s="61"/>
      <c r="K27" s="76"/>
      <c r="L27" s="74"/>
      <c r="M27" s="74"/>
      <c r="N27" s="74"/>
      <c r="O27" s="74"/>
      <c r="P27" s="544"/>
      <c r="Q27" s="544"/>
      <c r="R27" s="542"/>
      <c r="S27" s="542"/>
      <c r="T27" s="542"/>
      <c r="U27" s="542"/>
      <c r="V27" s="542"/>
      <c r="W27" s="52"/>
      <c r="X27" s="52"/>
      <c r="Y27" s="52"/>
      <c r="Z27" s="64"/>
      <c r="AA27" s="7"/>
      <c r="AB27" s="7"/>
      <c r="AC27" s="7"/>
      <c r="AD27" s="7"/>
      <c r="AE27" s="7"/>
    </row>
    <row r="28" spans="1:34" ht="15.75" customHeight="1">
      <c r="A28" s="7"/>
      <c r="B28" s="14" t="s">
        <v>73</v>
      </c>
      <c r="C28" s="55" t="s">
        <v>53</v>
      </c>
      <c r="D28" s="56">
        <f t="shared" ref="D28:F28" si="23">D30*(D8+D12)</f>
        <v>3287.4223303129997</v>
      </c>
      <c r="E28" s="56">
        <f t="shared" si="23"/>
        <v>3837.7346897820003</v>
      </c>
      <c r="F28" s="56">
        <f t="shared" si="23"/>
        <v>4286.8823532623992</v>
      </c>
      <c r="G28" s="57">
        <v>5411.84</v>
      </c>
      <c r="H28" s="57">
        <v>6762.241</v>
      </c>
      <c r="I28" s="57">
        <v>12685.950999999999</v>
      </c>
      <c r="J28" s="57">
        <v>12007.554</v>
      </c>
      <c r="K28" s="58">
        <f t="shared" ref="K28:O28" si="24">K30*(K8+K12)</f>
        <v>12435.906748200001</v>
      </c>
      <c r="L28" s="59">
        <f t="shared" si="24"/>
        <v>12901.895194500003</v>
      </c>
      <c r="M28" s="59">
        <f t="shared" si="24"/>
        <v>13337.265897139079</v>
      </c>
      <c r="N28" s="59">
        <f t="shared" si="24"/>
        <v>13737.383874053252</v>
      </c>
      <c r="O28" s="59">
        <f t="shared" si="24"/>
        <v>14098.000413889358</v>
      </c>
      <c r="P28" s="544"/>
      <c r="Q28" s="544"/>
      <c r="R28" s="542"/>
      <c r="S28" s="542"/>
      <c r="T28" s="542"/>
      <c r="U28" s="542"/>
      <c r="V28" s="542"/>
      <c r="W28" s="52"/>
      <c r="X28" s="52"/>
      <c r="Y28" s="52"/>
      <c r="Z28" s="64"/>
      <c r="AA28" s="7"/>
      <c r="AB28" s="7"/>
      <c r="AC28" s="7"/>
      <c r="AD28" s="7"/>
      <c r="AE28" s="7"/>
    </row>
    <row r="29" spans="1:34" ht="15" customHeight="1">
      <c r="A29" s="7"/>
      <c r="B29" s="49" t="s">
        <v>59</v>
      </c>
      <c r="C29" s="29" t="s">
        <v>55</v>
      </c>
      <c r="D29" s="29" t="s">
        <v>56</v>
      </c>
      <c r="E29" s="61">
        <f t="shared" ref="E29:O29" si="25">(E28/D28)-1</f>
        <v>0.16739934945219059</v>
      </c>
      <c r="F29" s="61">
        <f t="shared" si="25"/>
        <v>0.11703457893435365</v>
      </c>
      <c r="G29" s="61">
        <f t="shared" si="25"/>
        <v>0.26241859562147463</v>
      </c>
      <c r="H29" s="61">
        <f t="shared" si="25"/>
        <v>0.24952714788315977</v>
      </c>
      <c r="I29" s="61">
        <f t="shared" si="25"/>
        <v>0.87599806040630601</v>
      </c>
      <c r="J29" s="61">
        <f t="shared" si="25"/>
        <v>-5.3476243129111811E-2</v>
      </c>
      <c r="K29" s="75">
        <f t="shared" si="25"/>
        <v>3.5673605815139453E-2</v>
      </c>
      <c r="L29" s="61">
        <f t="shared" si="25"/>
        <v>3.7471207828689179E-2</v>
      </c>
      <c r="M29" s="61">
        <f t="shared" si="25"/>
        <v>3.3744709290823627E-2</v>
      </c>
      <c r="N29" s="61">
        <f t="shared" si="25"/>
        <v>3.0000000000000027E-2</v>
      </c>
      <c r="O29" s="61">
        <f t="shared" si="25"/>
        <v>2.6250743456126768E-2</v>
      </c>
      <c r="P29" s="544"/>
      <c r="Q29" s="544"/>
      <c r="R29" s="542"/>
      <c r="S29" s="542"/>
      <c r="T29" s="542"/>
      <c r="U29" s="542"/>
      <c r="V29" s="542"/>
      <c r="W29" s="52"/>
      <c r="X29" s="52"/>
      <c r="Y29" s="52"/>
      <c r="Z29" s="64"/>
      <c r="AA29" s="7"/>
      <c r="AB29" s="7"/>
      <c r="AC29" s="7"/>
      <c r="AD29" s="7"/>
      <c r="AE29" s="7"/>
    </row>
    <row r="30" spans="1:34" ht="15" customHeight="1">
      <c r="A30" s="4"/>
      <c r="B30" s="65" t="s">
        <v>74</v>
      </c>
      <c r="C30" s="66" t="s">
        <v>55</v>
      </c>
      <c r="D30" s="67">
        <v>5.2999999999999999E-2</v>
      </c>
      <c r="E30" s="68">
        <v>5.8000000000000003E-2</v>
      </c>
      <c r="F30" s="69">
        <v>6.1699999999999998E-2</v>
      </c>
      <c r="G30" s="68">
        <f t="shared" ref="G30:J30" si="26">G28/(G8+G12)</f>
        <v>7.1364912097705832E-2</v>
      </c>
      <c r="H30" s="68">
        <f t="shared" si="26"/>
        <v>8.0434102677573921E-2</v>
      </c>
      <c r="I30" s="68">
        <f t="shared" si="26"/>
        <v>0.14528209795947261</v>
      </c>
      <c r="J30" s="68">
        <f t="shared" si="26"/>
        <v>0.13068937855545346</v>
      </c>
      <c r="K30" s="70">
        <v>0.13</v>
      </c>
      <c r="L30" s="68">
        <v>0.13</v>
      </c>
      <c r="M30" s="68">
        <v>0.13</v>
      </c>
      <c r="N30" s="68">
        <v>0.13</v>
      </c>
      <c r="O30" s="68">
        <v>0.13</v>
      </c>
      <c r="P30" s="464"/>
      <c r="Q30" s="464"/>
      <c r="R30" s="464"/>
      <c r="S30" s="464"/>
      <c r="T30" s="464"/>
      <c r="U30" s="464"/>
      <c r="V30" s="464"/>
      <c r="W30" s="4"/>
      <c r="X30" s="4"/>
      <c r="Y30" s="4"/>
      <c r="Z30" s="4"/>
      <c r="AA30" s="4"/>
      <c r="AB30" s="4"/>
      <c r="AC30" s="4"/>
      <c r="AD30" s="72"/>
      <c r="AE30" s="72"/>
      <c r="AF30" s="73"/>
      <c r="AG30" s="73"/>
      <c r="AH30" s="73"/>
    </row>
    <row r="31" spans="1:34" ht="15" customHeight="1">
      <c r="A31" s="7"/>
      <c r="B31" s="49"/>
      <c r="C31" s="29"/>
      <c r="D31" s="74"/>
      <c r="E31" s="74"/>
      <c r="F31" s="74"/>
      <c r="G31" s="61"/>
      <c r="H31" s="61"/>
      <c r="I31" s="61"/>
      <c r="J31" s="61"/>
      <c r="K31" s="76"/>
      <c r="L31" s="74"/>
      <c r="M31" s="74"/>
      <c r="N31" s="74"/>
      <c r="O31" s="74"/>
      <c r="P31" s="545"/>
      <c r="Q31" s="545"/>
      <c r="R31" s="546"/>
      <c r="S31" s="546"/>
      <c r="T31" s="546"/>
      <c r="U31" s="546"/>
      <c r="V31" s="546"/>
      <c r="W31" s="64"/>
      <c r="X31" s="64"/>
      <c r="Y31" s="64"/>
      <c r="Z31" s="64"/>
      <c r="AA31" s="7"/>
      <c r="AB31" s="7"/>
      <c r="AC31" s="7"/>
      <c r="AD31" s="7"/>
      <c r="AE31" s="7"/>
    </row>
    <row r="32" spans="1:34" ht="15.75" customHeight="1">
      <c r="A32" s="7"/>
      <c r="B32" s="14" t="s">
        <v>75</v>
      </c>
      <c r="C32" s="55" t="s">
        <v>53</v>
      </c>
      <c r="D32" s="56">
        <f t="shared" ref="D32:F32" si="27">D34*(D8+D12+D16+D20+D24+D28)</f>
        <v>2156.8821673573166</v>
      </c>
      <c r="E32" s="56">
        <f t="shared" si="27"/>
        <v>2307.8038545026438</v>
      </c>
      <c r="F32" s="56">
        <f t="shared" si="27"/>
        <v>2372.7334133518425</v>
      </c>
      <c r="G32" s="57">
        <v>2646.2330000000002</v>
      </c>
      <c r="H32" s="57">
        <v>2689.6959999999999</v>
      </c>
      <c r="I32" s="57">
        <v>2652.846</v>
      </c>
      <c r="J32" s="57">
        <v>2784.12</v>
      </c>
      <c r="K32" s="58">
        <f t="shared" ref="K32:O32" si="28">K34*(K8+K12+K16+K20+K24+K28)</f>
        <v>2695.0345349531995</v>
      </c>
      <c r="L32" s="59">
        <f t="shared" si="28"/>
        <v>2764.3078754462158</v>
      </c>
      <c r="M32" s="59">
        <f t="shared" si="28"/>
        <v>2837.9002341798523</v>
      </c>
      <c r="N32" s="59">
        <f t="shared" si="28"/>
        <v>2908.426401043419</v>
      </c>
      <c r="O32" s="59">
        <f t="shared" si="28"/>
        <v>2982.9107662607025</v>
      </c>
      <c r="R32" s="64"/>
      <c r="S32" s="64"/>
      <c r="T32" s="64"/>
      <c r="U32" s="64"/>
      <c r="V32" s="64"/>
      <c r="W32" s="64"/>
      <c r="X32" s="64"/>
      <c r="Y32" s="64"/>
      <c r="Z32" s="64"/>
      <c r="AA32" s="7"/>
      <c r="AB32" s="7"/>
      <c r="AC32" s="7"/>
      <c r="AD32" s="7"/>
      <c r="AE32" s="7"/>
    </row>
    <row r="33" spans="1:34" ht="15" customHeight="1">
      <c r="A33" s="7"/>
      <c r="B33" s="49" t="s">
        <v>59</v>
      </c>
      <c r="C33" s="29" t="s">
        <v>55</v>
      </c>
      <c r="D33" s="29" t="s">
        <v>56</v>
      </c>
      <c r="E33" s="61">
        <f t="shared" ref="E33:O33" si="29">(E32/D32)-1</f>
        <v>6.9972152132094179E-2</v>
      </c>
      <c r="F33" s="61">
        <f t="shared" si="29"/>
        <v>2.8134782218392607E-2</v>
      </c>
      <c r="G33" s="61">
        <f t="shared" si="29"/>
        <v>0.11526772671094077</v>
      </c>
      <c r="H33" s="61">
        <f t="shared" si="29"/>
        <v>1.642447962821092E-2</v>
      </c>
      <c r="I33" s="61">
        <f t="shared" si="29"/>
        <v>-1.3700433060093054E-2</v>
      </c>
      <c r="J33" s="61">
        <f t="shared" si="29"/>
        <v>4.9484214311724006E-2</v>
      </c>
      <c r="K33" s="75">
        <f t="shared" si="29"/>
        <v>-3.1997710244817235E-2</v>
      </c>
      <c r="L33" s="61">
        <f t="shared" si="29"/>
        <v>2.5704064120358083E-2</v>
      </c>
      <c r="M33" s="61">
        <f t="shared" si="29"/>
        <v>2.662234528480556E-2</v>
      </c>
      <c r="N33" s="61">
        <f t="shared" si="29"/>
        <v>2.4851531429521456E-2</v>
      </c>
      <c r="O33" s="61">
        <f t="shared" si="29"/>
        <v>2.5609850464347828E-2</v>
      </c>
      <c r="R33" s="64"/>
      <c r="S33" s="64"/>
      <c r="T33" s="64"/>
      <c r="U33" s="64"/>
      <c r="V33" s="64"/>
      <c r="W33" s="64"/>
      <c r="X33" s="64"/>
      <c r="Y33" s="64"/>
      <c r="Z33" s="64"/>
      <c r="AA33" s="7"/>
      <c r="AB33" s="7"/>
      <c r="AC33" s="7"/>
      <c r="AD33" s="7"/>
      <c r="AE33" s="7"/>
    </row>
    <row r="34" spans="1:34" ht="15" customHeight="1">
      <c r="A34" s="4"/>
      <c r="B34" s="65" t="s">
        <v>76</v>
      </c>
      <c r="C34" s="66" t="s">
        <v>55</v>
      </c>
      <c r="D34" s="67">
        <v>1.2E-2</v>
      </c>
      <c r="E34" s="68">
        <v>1.2108000000000001E-2</v>
      </c>
      <c r="F34" s="69">
        <v>1.1992209E-2</v>
      </c>
      <c r="G34" s="68">
        <f t="shared" ref="G34:J34" si="30">G32/G5</f>
        <v>1.2139729006477506E-2</v>
      </c>
      <c r="H34" s="68">
        <f t="shared" si="30"/>
        <v>1.1639140464577261E-2</v>
      </c>
      <c r="I34" s="68">
        <f t="shared" si="30"/>
        <v>1.0963031841327544E-2</v>
      </c>
      <c r="J34" s="68">
        <f t="shared" si="30"/>
        <v>1.14963959670746E-2</v>
      </c>
      <c r="K34" s="70">
        <v>1.0999999999999999E-2</v>
      </c>
      <c r="L34" s="68">
        <v>1.0999999999999999E-2</v>
      </c>
      <c r="M34" s="68">
        <v>1.0999999999999999E-2</v>
      </c>
      <c r="N34" s="68">
        <v>1.0999999999999999E-2</v>
      </c>
      <c r="O34" s="68">
        <v>1.0999999999999999E-2</v>
      </c>
      <c r="P34" s="4"/>
      <c r="Q34" s="4"/>
      <c r="R34" s="4"/>
      <c r="S34" s="4"/>
      <c r="T34" s="71"/>
      <c r="U34" s="4"/>
      <c r="V34" s="4"/>
      <c r="W34" s="4"/>
      <c r="X34" s="4"/>
      <c r="Y34" s="4"/>
      <c r="Z34" s="4"/>
      <c r="AA34" s="4"/>
      <c r="AB34" s="4"/>
      <c r="AC34" s="4"/>
      <c r="AD34" s="72"/>
      <c r="AE34" s="72"/>
      <c r="AF34" s="73"/>
      <c r="AG34" s="73"/>
      <c r="AH34" s="73"/>
    </row>
    <row r="35" spans="1:34" ht="15" customHeight="1">
      <c r="A35" s="7"/>
      <c r="B35" s="7"/>
      <c r="C35" s="29"/>
      <c r="D35" s="30"/>
      <c r="E35" s="30"/>
      <c r="F35" s="30"/>
      <c r="G35" s="30"/>
      <c r="H35" s="30"/>
      <c r="I35" s="30"/>
      <c r="J35" s="30"/>
      <c r="K35" s="30"/>
      <c r="L35" s="30"/>
      <c r="M35" s="30"/>
      <c r="N35" s="30"/>
      <c r="O35" s="30"/>
      <c r="P35" s="7"/>
      <c r="AA35" s="7"/>
      <c r="AB35" s="7"/>
      <c r="AC35" s="7"/>
      <c r="AD35" s="7"/>
      <c r="AE35" s="7"/>
      <c r="AF35" s="7"/>
      <c r="AG35" s="7"/>
      <c r="AH35" s="7"/>
    </row>
    <row r="36" spans="1:34" ht="16.8">
      <c r="A36" s="7"/>
      <c r="B36" s="618" t="s">
        <v>77</v>
      </c>
      <c r="C36" s="584"/>
      <c r="D36" s="584"/>
      <c r="E36" s="584"/>
      <c r="F36" s="584"/>
      <c r="G36" s="584"/>
      <c r="H36" s="584"/>
      <c r="I36" s="584"/>
      <c r="J36" s="584"/>
      <c r="K36" s="584"/>
      <c r="L36" s="584"/>
      <c r="M36" s="584"/>
      <c r="N36" s="584"/>
      <c r="O36" s="585"/>
      <c r="P36" s="7"/>
      <c r="AA36" s="7"/>
      <c r="AB36" s="7"/>
      <c r="AC36" s="7"/>
      <c r="AD36" s="7"/>
      <c r="AE36" s="7"/>
      <c r="AF36" s="7"/>
      <c r="AG36" s="7"/>
      <c r="AH36" s="7"/>
    </row>
    <row r="37" spans="1:34" ht="15.75" customHeight="1">
      <c r="A37" s="7"/>
      <c r="B37" s="77" t="s">
        <v>78</v>
      </c>
      <c r="C37" s="78" t="s">
        <v>53</v>
      </c>
      <c r="D37" s="79"/>
      <c r="E37" s="79"/>
      <c r="F37" s="80">
        <v>83314.194000000003</v>
      </c>
      <c r="G37" s="80">
        <v>94802.906000000003</v>
      </c>
      <c r="H37" s="80">
        <v>102758.103</v>
      </c>
      <c r="I37" s="80">
        <v>110492.645</v>
      </c>
      <c r="J37" s="80">
        <v>112352.068</v>
      </c>
      <c r="K37" s="81">
        <f t="shared" ref="K37:O37" si="31">K5*K38</f>
        <v>113941.16007503046</v>
      </c>
      <c r="L37" s="80">
        <f t="shared" si="31"/>
        <v>116869.91095954702</v>
      </c>
      <c r="M37" s="80">
        <f t="shared" si="31"/>
        <v>119981.26208251658</v>
      </c>
      <c r="N37" s="80">
        <f t="shared" si="31"/>
        <v>122962.98018811387</v>
      </c>
      <c r="O37" s="82">
        <f t="shared" si="31"/>
        <v>126112.04372338204</v>
      </c>
      <c r="P37" s="7"/>
      <c r="AA37" s="7"/>
      <c r="AB37" s="7"/>
      <c r="AC37" s="7"/>
      <c r="AD37" s="7"/>
      <c r="AE37" s="7"/>
      <c r="AF37" s="7"/>
      <c r="AG37" s="7"/>
      <c r="AH37" s="7"/>
    </row>
    <row r="38" spans="1:34" ht="15" customHeight="1">
      <c r="A38" s="7"/>
      <c r="B38" s="83" t="s">
        <v>79</v>
      </c>
      <c r="C38" s="29" t="s">
        <v>55</v>
      </c>
      <c r="D38" s="30"/>
      <c r="E38" s="30"/>
      <c r="F38" s="84">
        <f t="shared" ref="F38:J38" si="32">F37/F5</f>
        <v>0.41609459162394163</v>
      </c>
      <c r="G38" s="84">
        <f t="shared" si="32"/>
        <v>0.43491317199451462</v>
      </c>
      <c r="H38" s="84">
        <f t="shared" si="32"/>
        <v>0.44466586361079402</v>
      </c>
      <c r="I38" s="84">
        <f t="shared" si="32"/>
        <v>0.45661692588544556</v>
      </c>
      <c r="J38" s="84">
        <f t="shared" si="32"/>
        <v>0.46393253934733103</v>
      </c>
      <c r="K38" s="85">
        <v>0.46</v>
      </c>
      <c r="L38" s="86">
        <v>0.46</v>
      </c>
      <c r="M38" s="86">
        <v>0.46</v>
      </c>
      <c r="N38" s="86">
        <v>0.46</v>
      </c>
      <c r="O38" s="87">
        <v>0.46</v>
      </c>
      <c r="P38" s="7"/>
      <c r="AA38" s="7"/>
      <c r="AB38" s="7"/>
      <c r="AC38" s="7"/>
      <c r="AD38" s="7"/>
      <c r="AE38" s="7"/>
      <c r="AF38" s="7"/>
      <c r="AG38" s="7"/>
      <c r="AH38" s="7"/>
    </row>
    <row r="39" spans="1:34" ht="15.75" customHeight="1">
      <c r="A39" s="7"/>
      <c r="B39" s="88"/>
      <c r="C39" s="55"/>
      <c r="D39" s="30"/>
      <c r="E39" s="30"/>
      <c r="F39" s="57"/>
      <c r="G39" s="57"/>
      <c r="H39" s="57"/>
      <c r="I39" s="57"/>
      <c r="J39" s="57"/>
      <c r="K39" s="53"/>
      <c r="L39" s="30"/>
      <c r="M39" s="30"/>
      <c r="N39" s="30"/>
      <c r="O39" s="89"/>
      <c r="P39" s="7"/>
      <c r="AA39" s="7"/>
      <c r="AB39" s="7"/>
      <c r="AC39" s="7"/>
      <c r="AD39" s="7"/>
      <c r="AE39" s="7"/>
      <c r="AF39" s="7"/>
      <c r="AG39" s="7"/>
      <c r="AH39" s="7"/>
    </row>
    <row r="40" spans="1:34" ht="15.75" customHeight="1">
      <c r="A40" s="7"/>
      <c r="B40" s="90" t="s">
        <v>80</v>
      </c>
      <c r="C40" s="46" t="s">
        <v>53</v>
      </c>
      <c r="D40" s="30"/>
      <c r="E40" s="30"/>
      <c r="F40" s="47">
        <v>70558.183000000005</v>
      </c>
      <c r="G40" s="47">
        <v>70420.247000000003</v>
      </c>
      <c r="H40" s="57">
        <v>66617.111999999994</v>
      </c>
      <c r="I40" s="57">
        <v>65940.267999999996</v>
      </c>
      <c r="J40" s="57">
        <v>65361.614999999998</v>
      </c>
      <c r="K40" s="53"/>
      <c r="L40" s="30"/>
      <c r="M40" s="30"/>
      <c r="N40" s="30"/>
      <c r="O40" s="89"/>
      <c r="P40" s="7"/>
      <c r="AA40" s="7"/>
      <c r="AB40" s="7"/>
      <c r="AC40" s="7"/>
      <c r="AD40" s="7"/>
      <c r="AE40" s="7"/>
      <c r="AF40" s="7"/>
      <c r="AG40" s="7"/>
      <c r="AH40" s="7"/>
    </row>
    <row r="41" spans="1:34" ht="15" customHeight="1">
      <c r="A41" s="7"/>
      <c r="B41" s="83" t="s">
        <v>81</v>
      </c>
      <c r="C41" s="29" t="s">
        <v>55</v>
      </c>
      <c r="D41" s="30"/>
      <c r="E41" s="30"/>
      <c r="F41" s="84">
        <f t="shared" ref="F41:J41" si="33">F40/F66</f>
        <v>0.49533826321325847</v>
      </c>
      <c r="G41" s="84">
        <f t="shared" si="33"/>
        <v>0.49394433523588444</v>
      </c>
      <c r="H41" s="91">
        <f t="shared" si="33"/>
        <v>0.46362026921275878</v>
      </c>
      <c r="I41" s="91">
        <f t="shared" si="33"/>
        <v>0.44200294704970994</v>
      </c>
      <c r="J41" s="91">
        <f t="shared" si="33"/>
        <v>0.42850293460549221</v>
      </c>
      <c r="K41" s="92"/>
      <c r="L41" s="79"/>
      <c r="M41" s="79"/>
      <c r="N41" s="79"/>
      <c r="O41" s="93"/>
      <c r="P41" s="7"/>
      <c r="AA41" s="7"/>
      <c r="AB41" s="7"/>
      <c r="AC41" s="7"/>
      <c r="AD41" s="7"/>
      <c r="AE41" s="7"/>
      <c r="AF41" s="7"/>
      <c r="AG41" s="7"/>
      <c r="AH41" s="7"/>
    </row>
    <row r="42" spans="1:34" ht="15" customHeight="1">
      <c r="A42" s="7"/>
      <c r="B42" s="44"/>
      <c r="C42" s="29"/>
      <c r="D42" s="30"/>
      <c r="E42" s="30"/>
      <c r="F42" s="30"/>
      <c r="G42" s="30"/>
      <c r="H42" s="30"/>
      <c r="I42" s="30"/>
      <c r="J42" s="30"/>
      <c r="K42" s="53"/>
      <c r="L42" s="30"/>
      <c r="M42" s="30"/>
      <c r="N42" s="30"/>
      <c r="O42" s="89"/>
      <c r="P42" s="7"/>
      <c r="AA42" s="7"/>
      <c r="AB42" s="7"/>
      <c r="AC42" s="7"/>
      <c r="AD42" s="7"/>
      <c r="AE42" s="7"/>
      <c r="AF42" s="7"/>
      <c r="AG42" s="7"/>
      <c r="AH42" s="7"/>
    </row>
    <row r="43" spans="1:34" ht="15" customHeight="1">
      <c r="A43" s="7"/>
      <c r="B43" s="88" t="s">
        <v>82</v>
      </c>
      <c r="C43" s="55" t="s">
        <v>53</v>
      </c>
      <c r="D43" s="30"/>
      <c r="E43" s="30"/>
      <c r="F43" s="57">
        <f t="shared" ref="F43:J43" si="34">F51+F49+F46</f>
        <v>5482.4260000000031</v>
      </c>
      <c r="G43" s="57">
        <f t="shared" si="34"/>
        <v>16864.755000000001</v>
      </c>
      <c r="H43" s="57">
        <f t="shared" si="34"/>
        <v>28848.423999999999</v>
      </c>
      <c r="I43" s="57">
        <f t="shared" si="34"/>
        <v>47135.981</v>
      </c>
      <c r="J43" s="57">
        <f t="shared" si="34"/>
        <v>37944.501000000004</v>
      </c>
      <c r="K43" s="94">
        <f t="shared" ref="K43:O43" si="35">K44*K37</f>
        <v>44437.052429261879</v>
      </c>
      <c r="L43" s="57">
        <f t="shared" si="35"/>
        <v>46747.964383818813</v>
      </c>
      <c r="M43" s="57">
        <f t="shared" si="35"/>
        <v>49192.317453831798</v>
      </c>
      <c r="N43" s="57">
        <f t="shared" si="35"/>
        <v>51644.451679007827</v>
      </c>
      <c r="O43" s="547">
        <f t="shared" si="35"/>
        <v>54228.17880105428</v>
      </c>
      <c r="P43" s="619" t="s">
        <v>83</v>
      </c>
      <c r="Q43" s="602"/>
      <c r="R43" s="602"/>
      <c r="S43" s="602"/>
      <c r="T43" s="602"/>
      <c r="AA43" s="7"/>
      <c r="AB43" s="7"/>
      <c r="AC43" s="7"/>
      <c r="AD43" s="7"/>
      <c r="AE43" s="7"/>
      <c r="AF43" s="7"/>
      <c r="AG43" s="7"/>
      <c r="AH43" s="7"/>
    </row>
    <row r="44" spans="1:34" ht="15" customHeight="1">
      <c r="A44" s="7"/>
      <c r="B44" s="83" t="s">
        <v>84</v>
      </c>
      <c r="C44" s="29" t="s">
        <v>55</v>
      </c>
      <c r="D44" s="30"/>
      <c r="E44" s="30"/>
      <c r="F44" s="84">
        <f t="shared" ref="F44:J44" si="36">F43/F37</f>
        <v>6.5804225388053361E-2</v>
      </c>
      <c r="G44" s="84">
        <f t="shared" si="36"/>
        <v>0.17789280636608334</v>
      </c>
      <c r="H44" s="84">
        <f t="shared" si="36"/>
        <v>0.28074111099540244</v>
      </c>
      <c r="I44" s="84">
        <f t="shared" si="36"/>
        <v>0.42659835865093099</v>
      </c>
      <c r="J44" s="84">
        <f t="shared" si="36"/>
        <v>0.3377285498652326</v>
      </c>
      <c r="K44" s="85">
        <v>0.39</v>
      </c>
      <c r="L44" s="86">
        <v>0.4</v>
      </c>
      <c r="M44" s="86">
        <v>0.41</v>
      </c>
      <c r="N44" s="86">
        <v>0.42</v>
      </c>
      <c r="O44" s="548">
        <v>0.43</v>
      </c>
      <c r="P44" s="620"/>
      <c r="Q44" s="602"/>
      <c r="R44" s="602"/>
      <c r="S44" s="602"/>
      <c r="T44" s="602"/>
      <c r="AA44" s="7"/>
      <c r="AB44" s="7"/>
      <c r="AC44" s="7"/>
      <c r="AD44" s="7"/>
      <c r="AE44" s="7"/>
      <c r="AF44" s="7"/>
      <c r="AG44" s="7"/>
      <c r="AH44" s="7"/>
    </row>
    <row r="45" spans="1:34" ht="15.75" customHeight="1">
      <c r="A45" s="7"/>
      <c r="B45" s="88"/>
      <c r="C45" s="55"/>
      <c r="D45" s="30"/>
      <c r="E45" s="30"/>
      <c r="F45" s="57"/>
      <c r="G45" s="57"/>
      <c r="H45" s="57"/>
      <c r="I45" s="57"/>
      <c r="J45" s="57"/>
      <c r="K45" s="53"/>
      <c r="L45" s="30"/>
      <c r="M45" s="30"/>
      <c r="N45" s="30"/>
      <c r="O45" s="549"/>
      <c r="P45" s="553"/>
      <c r="Q45" s="539"/>
      <c r="R45" s="539"/>
      <c r="S45" s="539"/>
      <c r="T45" s="539"/>
      <c r="AA45" s="7"/>
      <c r="AB45" s="7"/>
      <c r="AC45" s="7"/>
      <c r="AD45" s="7"/>
      <c r="AE45" s="7"/>
      <c r="AF45" s="7"/>
      <c r="AG45" s="7"/>
      <c r="AH45" s="7"/>
    </row>
    <row r="46" spans="1:34" ht="15.75" customHeight="1">
      <c r="A46" s="7"/>
      <c r="B46" s="88" t="s">
        <v>85</v>
      </c>
      <c r="C46" s="55" t="s">
        <v>53</v>
      </c>
      <c r="D46" s="30"/>
      <c r="E46" s="30"/>
      <c r="F46" s="57">
        <v>26517.306</v>
      </c>
      <c r="G46" s="57">
        <v>26431.088</v>
      </c>
      <c r="H46" s="57">
        <v>26848.027999999998</v>
      </c>
      <c r="I46" s="57">
        <v>24729.205999999998</v>
      </c>
      <c r="J46" s="57">
        <v>23122.269</v>
      </c>
      <c r="K46" s="94">
        <f>K47*'Income Statement'!I21</f>
        <v>22293.615977049034</v>
      </c>
      <c r="L46" s="57">
        <f>L47*'Income Statement'!J21</f>
        <v>18455.568152883981</v>
      </c>
      <c r="M46" s="57">
        <f>M47*'Income Statement'!K21</f>
        <v>14843.391260319317</v>
      </c>
      <c r="N46" s="57">
        <f>N47*'Income Statement'!L21</f>
        <v>11482.547609189553</v>
      </c>
      <c r="O46" s="547">
        <f>O47*'Income Statement'!M21</f>
        <v>10198.626144586548</v>
      </c>
      <c r="P46" s="619" t="s">
        <v>86</v>
      </c>
      <c r="Q46" s="602"/>
      <c r="R46" s="602"/>
      <c r="S46" s="602"/>
      <c r="T46" s="602"/>
      <c r="AA46" s="7"/>
      <c r="AB46" s="7"/>
      <c r="AC46" s="7"/>
      <c r="AD46" s="7"/>
      <c r="AE46" s="7"/>
      <c r="AF46" s="7"/>
      <c r="AG46" s="7"/>
      <c r="AH46" s="7"/>
    </row>
    <row r="47" spans="1:34" ht="15" customHeight="1">
      <c r="A47" s="7"/>
      <c r="B47" s="83" t="s">
        <v>87</v>
      </c>
      <c r="C47" s="29" t="s">
        <v>55</v>
      </c>
      <c r="D47" s="30"/>
      <c r="E47" s="30"/>
      <c r="F47" s="8">
        <f>F46/'Income Statement'!D21</f>
        <v>0.54763468411279248</v>
      </c>
      <c r="G47" s="8">
        <f>G46/'Income Statement'!E21</f>
        <v>0.42865021624699728</v>
      </c>
      <c r="H47" s="8">
        <f>H46/'Income Statement'!F21</f>
        <v>0.42786784105599607</v>
      </c>
      <c r="I47" s="8">
        <f>I46/'Income Statement'!G21</f>
        <v>0.3622510401794713</v>
      </c>
      <c r="J47" s="8">
        <f>J46/'Income Statement'!H21</f>
        <v>0.34547517060196786</v>
      </c>
      <c r="K47" s="96">
        <v>0.34</v>
      </c>
      <c r="L47" s="97">
        <v>0.33</v>
      </c>
      <c r="M47" s="97">
        <v>0.32</v>
      </c>
      <c r="N47" s="97">
        <v>0.31</v>
      </c>
      <c r="O47" s="550">
        <v>0.31</v>
      </c>
      <c r="P47" s="620"/>
      <c r="Q47" s="602"/>
      <c r="R47" s="602"/>
      <c r="S47" s="602"/>
      <c r="T47" s="602"/>
      <c r="AA47" s="7"/>
      <c r="AB47" s="7"/>
      <c r="AC47" s="7"/>
      <c r="AD47" s="7"/>
      <c r="AE47" s="7"/>
      <c r="AF47" s="7"/>
      <c r="AG47" s="7"/>
      <c r="AH47" s="7"/>
    </row>
    <row r="48" spans="1:34" ht="15.75" customHeight="1">
      <c r="A48" s="7"/>
      <c r="B48" s="44"/>
      <c r="C48" s="29"/>
      <c r="D48" s="30"/>
      <c r="E48" s="30"/>
      <c r="F48" s="30"/>
      <c r="G48" s="30"/>
      <c r="H48" s="30"/>
      <c r="I48" s="30"/>
      <c r="J48" s="30"/>
      <c r="K48" s="53"/>
      <c r="L48" s="30"/>
      <c r="M48" s="30"/>
      <c r="N48" s="30"/>
      <c r="O48" s="549"/>
      <c r="P48" s="553"/>
      <c r="Q48" s="539"/>
      <c r="R48" s="539"/>
      <c r="S48" s="539"/>
      <c r="T48" s="539"/>
      <c r="AA48" s="7"/>
      <c r="AB48" s="7"/>
      <c r="AC48" s="7"/>
      <c r="AD48" s="7"/>
      <c r="AE48" s="7"/>
      <c r="AF48" s="7"/>
      <c r="AG48" s="7"/>
      <c r="AH48" s="7"/>
    </row>
    <row r="49" spans="1:34" ht="15.75" customHeight="1">
      <c r="A49" s="7"/>
      <c r="B49" s="88" t="s">
        <v>88</v>
      </c>
      <c r="C49" s="55" t="s">
        <v>53</v>
      </c>
      <c r="D49" s="30"/>
      <c r="E49" s="30"/>
      <c r="F49" s="57">
        <v>19885.845000000001</v>
      </c>
      <c r="G49" s="57">
        <v>21882.109</v>
      </c>
      <c r="H49" s="57">
        <v>24481.829000000002</v>
      </c>
      <c r="I49" s="57">
        <v>20959.971000000001</v>
      </c>
      <c r="J49" s="57">
        <v>19251.807000000001</v>
      </c>
      <c r="K49" s="94">
        <v>19000</v>
      </c>
      <c r="L49" s="57">
        <v>18600</v>
      </c>
      <c r="M49" s="57">
        <v>18200</v>
      </c>
      <c r="N49" s="57">
        <v>17800</v>
      </c>
      <c r="O49" s="547">
        <v>17400</v>
      </c>
      <c r="P49" s="553"/>
      <c r="Q49" s="539"/>
      <c r="R49" s="539"/>
      <c r="S49" s="539"/>
      <c r="T49" s="539"/>
      <c r="AA49" s="7"/>
      <c r="AB49" s="7"/>
      <c r="AC49" s="7"/>
      <c r="AD49" s="7"/>
      <c r="AE49" s="7"/>
      <c r="AF49" s="7"/>
      <c r="AG49" s="7"/>
      <c r="AH49" s="7"/>
    </row>
    <row r="50" spans="1:34" ht="15.75" customHeight="1">
      <c r="A50" s="7"/>
      <c r="B50" s="88"/>
      <c r="C50" s="55"/>
      <c r="D50" s="30"/>
      <c r="E50" s="30"/>
      <c r="F50" s="57"/>
      <c r="G50" s="57"/>
      <c r="H50" s="57"/>
      <c r="I50" s="57"/>
      <c r="J50" s="57"/>
      <c r="K50" s="94"/>
      <c r="L50" s="57"/>
      <c r="M50" s="57"/>
      <c r="N50" s="57"/>
      <c r="O50" s="547"/>
      <c r="P50" s="553"/>
      <c r="Q50" s="539"/>
      <c r="R50" s="539"/>
      <c r="S50" s="539"/>
      <c r="T50" s="539"/>
      <c r="AA50" s="7"/>
      <c r="AB50" s="7"/>
      <c r="AC50" s="7"/>
      <c r="AD50" s="7"/>
      <c r="AE50" s="7"/>
      <c r="AF50" s="7"/>
      <c r="AG50" s="7"/>
      <c r="AH50" s="7"/>
    </row>
    <row r="51" spans="1:34" ht="15.75" customHeight="1">
      <c r="A51" s="7"/>
      <c r="B51" s="90" t="s">
        <v>89</v>
      </c>
      <c r="C51" s="46" t="s">
        <v>53</v>
      </c>
      <c r="D51" s="98"/>
      <c r="E51" s="98"/>
      <c r="F51" s="47">
        <v>-40920.724999999999</v>
      </c>
      <c r="G51" s="47">
        <v>-31448.441999999999</v>
      </c>
      <c r="H51" s="47">
        <v>-22481.433000000001</v>
      </c>
      <c r="I51" s="47">
        <v>1446.8040000000001</v>
      </c>
      <c r="J51" s="47">
        <v>-4429.5749999999998</v>
      </c>
      <c r="K51" s="48">
        <f t="shared" ref="K51:O51" si="37">K43-K46-K49</f>
        <v>3143.4364522128453</v>
      </c>
      <c r="L51" s="47">
        <f t="shared" si="37"/>
        <v>9692.3962309348317</v>
      </c>
      <c r="M51" s="47">
        <f t="shared" si="37"/>
        <v>16148.926193512481</v>
      </c>
      <c r="N51" s="47">
        <f t="shared" si="37"/>
        <v>22361.904069818273</v>
      </c>
      <c r="O51" s="551">
        <f t="shared" si="37"/>
        <v>26629.552656467735</v>
      </c>
      <c r="P51" s="621" t="s">
        <v>90</v>
      </c>
      <c r="Q51" s="602"/>
      <c r="R51" s="602"/>
      <c r="S51" s="602"/>
      <c r="T51" s="539"/>
      <c r="AA51" s="7"/>
      <c r="AB51" s="7"/>
      <c r="AC51" s="7"/>
      <c r="AD51" s="7"/>
      <c r="AE51" s="7"/>
      <c r="AF51" s="7"/>
      <c r="AG51" s="7"/>
      <c r="AH51" s="7"/>
    </row>
    <row r="52" spans="1:34" ht="15.75" customHeight="1">
      <c r="A52" s="7"/>
      <c r="B52" s="7"/>
      <c r="C52" s="42"/>
      <c r="D52" s="100"/>
      <c r="E52" s="100"/>
      <c r="F52" s="30"/>
      <c r="G52" s="30"/>
      <c r="H52" s="30"/>
      <c r="I52" s="30"/>
      <c r="J52" s="30"/>
      <c r="K52" s="30"/>
      <c r="L52" s="30"/>
      <c r="M52" s="30"/>
      <c r="N52" s="30"/>
      <c r="O52" s="30"/>
      <c r="P52" s="7"/>
      <c r="AA52" s="7"/>
      <c r="AB52" s="7"/>
      <c r="AC52" s="7"/>
      <c r="AD52" s="7"/>
      <c r="AE52" s="7"/>
      <c r="AF52" s="7"/>
      <c r="AG52" s="7"/>
      <c r="AH52" s="7"/>
    </row>
    <row r="53" spans="1:34" ht="15.75" customHeight="1">
      <c r="A53" s="7"/>
      <c r="B53" s="7"/>
      <c r="C53" s="42"/>
      <c r="D53" s="101">
        <f t="shared" ref="D53:E53" si="38">D58+D61</f>
        <v>52507.377999999997</v>
      </c>
      <c r="E53" s="101">
        <f t="shared" si="38"/>
        <v>50833.60500000001</v>
      </c>
      <c r="F53" s="30"/>
      <c r="G53" s="30"/>
      <c r="H53" s="30"/>
      <c r="I53" s="30"/>
      <c r="J53" s="30"/>
      <c r="K53" s="30"/>
      <c r="L53" s="30"/>
      <c r="M53" s="30"/>
      <c r="N53" s="30"/>
      <c r="O53" s="30"/>
      <c r="P53" s="7"/>
      <c r="AA53" s="7"/>
      <c r="AB53" s="7"/>
      <c r="AC53" s="7"/>
      <c r="AD53" s="7"/>
      <c r="AE53" s="7"/>
      <c r="AF53" s="7"/>
      <c r="AG53" s="7"/>
      <c r="AH53" s="7"/>
    </row>
    <row r="54" spans="1:34" ht="15.75" customHeight="1">
      <c r="A54" s="7"/>
      <c r="B54" s="45" t="s">
        <v>91</v>
      </c>
      <c r="C54" s="46" t="s">
        <v>53</v>
      </c>
      <c r="D54" s="102">
        <f t="shared" ref="D54:E54" si="39">D58</f>
        <v>34654.869480000001</v>
      </c>
      <c r="E54" s="102">
        <f t="shared" si="39"/>
        <v>33550.179300000003</v>
      </c>
      <c r="F54" s="47">
        <v>34632.427000000003</v>
      </c>
      <c r="G54" s="47">
        <v>33717.711000000003</v>
      </c>
      <c r="H54" s="47">
        <v>30969.614000000001</v>
      </c>
      <c r="I54" s="47">
        <v>31387.344000000001</v>
      </c>
      <c r="J54" s="47">
        <v>25023.094000000001</v>
      </c>
      <c r="K54" s="48">
        <f t="shared" ref="K54:O54" si="40">K55*K5</f>
        <v>26008.308277996082</v>
      </c>
      <c r="L54" s="47">
        <f t="shared" si="40"/>
        <v>26676.827501635733</v>
      </c>
      <c r="M54" s="47">
        <f t="shared" si="40"/>
        <v>27387.027214487476</v>
      </c>
      <c r="N54" s="47">
        <f t="shared" si="40"/>
        <v>28067.636782069469</v>
      </c>
      <c r="O54" s="47">
        <f t="shared" si="40"/>
        <v>28786.444762945899</v>
      </c>
      <c r="P54" s="609" t="s">
        <v>92</v>
      </c>
      <c r="Q54" s="610"/>
      <c r="AA54" s="7"/>
      <c r="AB54" s="7"/>
      <c r="AC54" s="7"/>
      <c r="AD54" s="7"/>
      <c r="AE54" s="7"/>
      <c r="AF54" s="7"/>
      <c r="AG54" s="7"/>
      <c r="AH54" s="7"/>
    </row>
    <row r="55" spans="1:34" ht="15.75" customHeight="1">
      <c r="A55" s="7"/>
      <c r="B55" s="7" t="s">
        <v>93</v>
      </c>
      <c r="C55" s="29" t="s">
        <v>55</v>
      </c>
      <c r="D55" s="50">
        <f t="shared" ref="D55:J55" si="41">D54/D5</f>
        <v>0.19051931671109854</v>
      </c>
      <c r="E55" s="50">
        <f t="shared" si="41"/>
        <v>0.17391699034622793</v>
      </c>
      <c r="F55" s="50">
        <f t="shared" si="41"/>
        <v>0.17296411184762792</v>
      </c>
      <c r="G55" s="50">
        <f t="shared" si="41"/>
        <v>0.1546817208683913</v>
      </c>
      <c r="H55" s="50">
        <f t="shared" si="41"/>
        <v>0.13401502901433415</v>
      </c>
      <c r="I55" s="50">
        <f t="shared" si="41"/>
        <v>0.12970992348847279</v>
      </c>
      <c r="J55" s="50">
        <f t="shared" si="41"/>
        <v>0.10332722617750982</v>
      </c>
      <c r="K55" s="62">
        <v>0.105</v>
      </c>
      <c r="L55" s="63">
        <v>0.105</v>
      </c>
      <c r="M55" s="63">
        <v>0.105</v>
      </c>
      <c r="N55" s="63">
        <v>0.105</v>
      </c>
      <c r="O55" s="63">
        <v>0.105</v>
      </c>
      <c r="P55" s="611"/>
      <c r="Q55" s="612"/>
      <c r="AA55" s="7"/>
      <c r="AB55" s="7"/>
      <c r="AC55" s="7"/>
      <c r="AD55" s="7"/>
      <c r="AE55" s="7"/>
      <c r="AF55" s="7"/>
      <c r="AG55" s="7"/>
      <c r="AH55" s="7"/>
    </row>
    <row r="56" spans="1:34" ht="15.75" customHeight="1">
      <c r="A56" s="7"/>
      <c r="B56" s="7" t="s">
        <v>94</v>
      </c>
      <c r="C56" s="29" t="s">
        <v>55</v>
      </c>
      <c r="D56" s="50">
        <f t="shared" ref="D56:O56" si="42">1-D55</f>
        <v>0.80948068328890144</v>
      </c>
      <c r="E56" s="50">
        <f t="shared" si="42"/>
        <v>0.82608300965377213</v>
      </c>
      <c r="F56" s="50">
        <f t="shared" si="42"/>
        <v>0.82703588815237206</v>
      </c>
      <c r="G56" s="50">
        <f t="shared" si="42"/>
        <v>0.84531827913160873</v>
      </c>
      <c r="H56" s="50">
        <f t="shared" si="42"/>
        <v>0.86598497098566585</v>
      </c>
      <c r="I56" s="50">
        <f t="shared" si="42"/>
        <v>0.87029007651152723</v>
      </c>
      <c r="J56" s="50">
        <f t="shared" si="42"/>
        <v>0.89667277382249022</v>
      </c>
      <c r="K56" s="51">
        <f t="shared" si="42"/>
        <v>0.89500000000000002</v>
      </c>
      <c r="L56" s="50">
        <f t="shared" si="42"/>
        <v>0.89500000000000002</v>
      </c>
      <c r="M56" s="50">
        <f t="shared" si="42"/>
        <v>0.89500000000000002</v>
      </c>
      <c r="N56" s="50">
        <f t="shared" si="42"/>
        <v>0.89500000000000002</v>
      </c>
      <c r="O56" s="50">
        <f t="shared" si="42"/>
        <v>0.89500000000000002</v>
      </c>
      <c r="P56" s="611"/>
      <c r="Q56" s="612"/>
      <c r="AA56" s="7"/>
      <c r="AB56" s="7"/>
      <c r="AC56" s="7"/>
      <c r="AD56" s="7"/>
      <c r="AE56" s="7"/>
      <c r="AF56" s="7"/>
      <c r="AG56" s="7"/>
      <c r="AH56" s="7"/>
    </row>
    <row r="57" spans="1:34" ht="15.75" customHeight="1">
      <c r="A57" s="7"/>
      <c r="B57" s="7"/>
      <c r="C57" s="29"/>
      <c r="D57" s="103"/>
      <c r="E57" s="103"/>
      <c r="F57" s="20"/>
      <c r="G57" s="20"/>
      <c r="H57" s="20"/>
      <c r="I57" s="20"/>
      <c r="J57" s="20"/>
      <c r="K57" s="104"/>
      <c r="L57" s="105"/>
      <c r="M57" s="105"/>
      <c r="N57" s="105"/>
      <c r="O57" s="105"/>
      <c r="P57" s="611"/>
      <c r="Q57" s="612"/>
      <c r="AA57" s="7"/>
      <c r="AB57" s="7"/>
      <c r="AC57" s="7"/>
      <c r="AD57" s="7"/>
      <c r="AE57" s="7"/>
      <c r="AF57" s="7"/>
      <c r="AG57" s="7"/>
      <c r="AH57" s="7"/>
    </row>
    <row r="58" spans="1:34" ht="15.75" customHeight="1">
      <c r="A58" s="7"/>
      <c r="B58" s="7" t="s">
        <v>95</v>
      </c>
      <c r="C58" s="29" t="s">
        <v>53</v>
      </c>
      <c r="D58" s="103">
        <f t="shared" ref="D58:E58" si="43">D59*D64</f>
        <v>34654.869480000001</v>
      </c>
      <c r="E58" s="103">
        <f t="shared" si="43"/>
        <v>33550.179300000003</v>
      </c>
      <c r="F58" s="20">
        <f t="shared" ref="F58:J58" si="44">F54</f>
        <v>34632.427000000003</v>
      </c>
      <c r="G58" s="20">
        <f t="shared" si="44"/>
        <v>33717.711000000003</v>
      </c>
      <c r="H58" s="20">
        <f t="shared" si="44"/>
        <v>30969.614000000001</v>
      </c>
      <c r="I58" s="20">
        <f t="shared" si="44"/>
        <v>31387.344000000001</v>
      </c>
      <c r="J58" s="20">
        <f t="shared" si="44"/>
        <v>25023.094000000001</v>
      </c>
      <c r="K58" s="104"/>
      <c r="L58" s="105"/>
      <c r="M58" s="105"/>
      <c r="N58" s="105"/>
      <c r="O58" s="105"/>
      <c r="P58" s="611"/>
      <c r="Q58" s="612"/>
      <c r="AA58" s="7"/>
      <c r="AB58" s="7"/>
      <c r="AC58" s="7"/>
      <c r="AD58" s="7"/>
      <c r="AE58" s="7"/>
      <c r="AF58" s="7"/>
      <c r="AG58" s="7"/>
      <c r="AH58" s="7"/>
    </row>
    <row r="59" spans="1:34" ht="15.75" customHeight="1">
      <c r="A59" s="7"/>
      <c r="B59" s="49" t="s">
        <v>96</v>
      </c>
      <c r="C59" s="29" t="s">
        <v>55</v>
      </c>
      <c r="D59" s="74">
        <v>0.66</v>
      </c>
      <c r="E59" s="74">
        <v>0.66</v>
      </c>
      <c r="F59" s="61">
        <f t="shared" ref="F59:J59" si="45">F58/F64</f>
        <v>0.65908874302029596</v>
      </c>
      <c r="G59" s="61">
        <f t="shared" si="45"/>
        <v>0.65040549613751153</v>
      </c>
      <c r="H59" s="61">
        <f t="shared" si="45"/>
        <v>0.64286938122147874</v>
      </c>
      <c r="I59" s="61">
        <f t="shared" si="45"/>
        <v>0.63826990832456543</v>
      </c>
      <c r="J59" s="61">
        <f t="shared" si="45"/>
        <v>0.59530598131931478</v>
      </c>
      <c r="K59" s="62"/>
      <c r="L59" s="63"/>
      <c r="M59" s="63"/>
      <c r="N59" s="63"/>
      <c r="O59" s="63"/>
      <c r="P59" s="611"/>
      <c r="Q59" s="612"/>
      <c r="R59" s="64"/>
      <c r="S59" s="64"/>
      <c r="T59" s="64"/>
      <c r="U59" s="64"/>
      <c r="V59" s="64"/>
      <c r="W59" s="64"/>
      <c r="X59" s="64"/>
      <c r="Y59" s="64"/>
      <c r="Z59" s="64"/>
      <c r="AA59" s="7"/>
      <c r="AB59" s="7"/>
      <c r="AC59" s="7"/>
      <c r="AD59" s="7"/>
      <c r="AE59" s="7"/>
      <c r="AF59" s="7"/>
      <c r="AG59" s="7"/>
      <c r="AH59" s="7"/>
    </row>
    <row r="60" spans="1:34" ht="15.75" customHeight="1">
      <c r="A60" s="7"/>
      <c r="B60" s="49"/>
      <c r="C60" s="29"/>
      <c r="D60" s="106"/>
      <c r="E60" s="106"/>
      <c r="F60" s="106"/>
      <c r="G60" s="106"/>
      <c r="H60" s="106"/>
      <c r="I60" s="106"/>
      <c r="J60" s="106"/>
      <c r="K60" s="107"/>
      <c r="L60" s="106"/>
      <c r="M60" s="106"/>
      <c r="N60" s="106"/>
      <c r="O60" s="106"/>
      <c r="P60" s="611"/>
      <c r="Q60" s="612"/>
      <c r="R60" s="60"/>
      <c r="S60" s="60"/>
      <c r="T60" s="60"/>
      <c r="U60" s="60"/>
      <c r="V60" s="60"/>
      <c r="W60" s="60"/>
      <c r="X60" s="60"/>
      <c r="Y60" s="60"/>
      <c r="Z60" s="60"/>
      <c r="AA60" s="7"/>
      <c r="AB60" s="7"/>
      <c r="AC60" s="7"/>
      <c r="AD60" s="7"/>
      <c r="AE60" s="7"/>
      <c r="AF60" s="7"/>
      <c r="AG60" s="7"/>
      <c r="AH60" s="7"/>
    </row>
    <row r="61" spans="1:34" ht="15.75" customHeight="1">
      <c r="A61" s="7"/>
      <c r="B61" s="7" t="s">
        <v>97</v>
      </c>
      <c r="C61" s="29" t="s">
        <v>53</v>
      </c>
      <c r="D61" s="103">
        <f t="shared" ref="D61:E61" si="46">D62*D64</f>
        <v>17852.508519999999</v>
      </c>
      <c r="E61" s="103">
        <f t="shared" si="46"/>
        <v>17283.425700000003</v>
      </c>
      <c r="F61" s="20">
        <v>17913.496999999999</v>
      </c>
      <c r="G61" s="20">
        <v>18123.349999999999</v>
      </c>
      <c r="H61" s="20">
        <v>17204.423999999999</v>
      </c>
      <c r="I61" s="20">
        <v>17788.315999999999</v>
      </c>
      <c r="J61" s="20">
        <v>17010.91</v>
      </c>
      <c r="K61" s="104"/>
      <c r="L61" s="105"/>
      <c r="M61" s="105"/>
      <c r="N61" s="105"/>
      <c r="O61" s="105"/>
      <c r="P61" s="611"/>
      <c r="Q61" s="612"/>
      <c r="R61" s="60"/>
      <c r="S61" s="60"/>
      <c r="T61" s="60"/>
      <c r="U61" s="60"/>
      <c r="V61" s="60"/>
      <c r="W61" s="60"/>
      <c r="X61" s="60"/>
      <c r="Y61" s="60"/>
      <c r="Z61" s="60"/>
      <c r="AA61" s="7"/>
      <c r="AB61" s="7"/>
      <c r="AC61" s="7"/>
      <c r="AD61" s="7"/>
      <c r="AE61" s="7"/>
      <c r="AF61" s="7"/>
      <c r="AG61" s="7"/>
      <c r="AH61" s="7"/>
    </row>
    <row r="62" spans="1:34" ht="15.75" customHeight="1">
      <c r="A62" s="7"/>
      <c r="B62" s="49" t="s">
        <v>98</v>
      </c>
      <c r="C62" s="29" t="s">
        <v>55</v>
      </c>
      <c r="D62" s="74">
        <v>0.34</v>
      </c>
      <c r="E62" s="74">
        <v>0.34</v>
      </c>
      <c r="F62" s="61">
        <f t="shared" ref="F62:J62" si="47">F61/F64</f>
        <v>0.34091125697970409</v>
      </c>
      <c r="G62" s="61">
        <f t="shared" si="47"/>
        <v>0.34959450386248841</v>
      </c>
      <c r="H62" s="61">
        <f t="shared" si="47"/>
        <v>0.35713061877852131</v>
      </c>
      <c r="I62" s="61">
        <f t="shared" si="47"/>
        <v>0.36173009167543452</v>
      </c>
      <c r="J62" s="61">
        <f t="shared" si="47"/>
        <v>0.40469401868068527</v>
      </c>
      <c r="K62" s="62"/>
      <c r="L62" s="63"/>
      <c r="M62" s="63"/>
      <c r="N62" s="63"/>
      <c r="O62" s="63"/>
      <c r="P62" s="611"/>
      <c r="Q62" s="612"/>
      <c r="AA62" s="617"/>
      <c r="AB62" s="578"/>
      <c r="AC62" s="108"/>
      <c r="AD62" s="108"/>
      <c r="AE62" s="108"/>
      <c r="AF62" s="7"/>
      <c r="AG62" s="7"/>
      <c r="AH62" s="7"/>
    </row>
    <row r="63" spans="1:34" ht="15.75" customHeight="1">
      <c r="A63" s="7"/>
      <c r="B63" s="49"/>
      <c r="C63" s="29"/>
      <c r="D63" s="106"/>
      <c r="E63" s="106"/>
      <c r="F63" s="106"/>
      <c r="G63" s="106"/>
      <c r="H63" s="106"/>
      <c r="I63" s="106"/>
      <c r="J63" s="106"/>
      <c r="K63" s="107"/>
      <c r="L63" s="106"/>
      <c r="M63" s="106"/>
      <c r="N63" s="106"/>
      <c r="O63" s="106"/>
      <c r="P63" s="611"/>
      <c r="Q63" s="612"/>
      <c r="R63" s="7"/>
      <c r="S63" s="7"/>
      <c r="T63" s="7"/>
      <c r="U63" s="7"/>
      <c r="V63" s="7"/>
      <c r="W63" s="7"/>
      <c r="X63" s="7"/>
      <c r="Y63" s="7"/>
      <c r="Z63" s="7"/>
      <c r="AA63" s="108"/>
      <c r="AB63" s="108"/>
      <c r="AC63" s="108"/>
      <c r="AD63" s="108"/>
      <c r="AE63" s="108"/>
      <c r="AF63" s="7"/>
      <c r="AG63" s="7"/>
      <c r="AH63" s="7"/>
    </row>
    <row r="64" spans="1:34" ht="15.75" customHeight="1">
      <c r="A64" s="7"/>
      <c r="B64" s="109" t="s">
        <v>99</v>
      </c>
      <c r="C64" s="110" t="s">
        <v>53</v>
      </c>
      <c r="D64" s="111">
        <v>52507.377999999997</v>
      </c>
      <c r="E64" s="111">
        <v>50833.605000000003</v>
      </c>
      <c r="F64" s="111">
        <f t="shared" ref="F64:J64" si="48">F61+F58</f>
        <v>52545.923999999999</v>
      </c>
      <c r="G64" s="111">
        <f t="shared" si="48"/>
        <v>51841.061000000002</v>
      </c>
      <c r="H64" s="111">
        <f t="shared" si="48"/>
        <v>48174.038</v>
      </c>
      <c r="I64" s="111">
        <f t="shared" si="48"/>
        <v>49175.66</v>
      </c>
      <c r="J64" s="111">
        <f t="shared" si="48"/>
        <v>42034.004000000001</v>
      </c>
      <c r="K64" s="53"/>
      <c r="L64" s="30"/>
      <c r="M64" s="30"/>
      <c r="N64" s="30"/>
      <c r="O64" s="30"/>
      <c r="P64" s="613"/>
      <c r="Q64" s="614"/>
      <c r="R64" s="14"/>
      <c r="S64" s="14"/>
      <c r="T64" s="14"/>
      <c r="U64" s="14"/>
      <c r="V64" s="14"/>
      <c r="W64" s="14"/>
      <c r="X64" s="14"/>
      <c r="Y64" s="14"/>
      <c r="Z64" s="14"/>
      <c r="AB64" s="7"/>
      <c r="AC64" s="7"/>
      <c r="AD64" s="7"/>
      <c r="AE64" s="7"/>
      <c r="AF64" s="7"/>
      <c r="AG64" s="7"/>
      <c r="AH64" s="7"/>
    </row>
    <row r="65" spans="1:34" ht="15.75" customHeight="1">
      <c r="A65" s="7"/>
      <c r="B65" s="7"/>
      <c r="C65" s="29"/>
      <c r="D65" s="30"/>
      <c r="E65" s="30"/>
      <c r="F65" s="30"/>
      <c r="G65" s="30"/>
      <c r="H65" s="30"/>
      <c r="I65" s="30"/>
      <c r="J65" s="30"/>
      <c r="K65" s="112"/>
      <c r="P65" s="554"/>
      <c r="Q65" s="554"/>
      <c r="R65" s="7"/>
      <c r="S65" s="7"/>
      <c r="T65" s="7"/>
      <c r="U65" s="7"/>
      <c r="V65" s="7"/>
      <c r="W65" s="7"/>
      <c r="X65" s="7"/>
      <c r="Y65" s="7"/>
      <c r="Z65" s="7"/>
      <c r="AB65" s="7"/>
      <c r="AC65" s="7"/>
      <c r="AD65" s="7"/>
      <c r="AE65" s="7"/>
      <c r="AF65" s="7"/>
      <c r="AG65" s="7"/>
      <c r="AH65" s="7"/>
    </row>
    <row r="66" spans="1:34" ht="15.75" customHeight="1">
      <c r="A66" s="7"/>
      <c r="B66" s="113" t="s">
        <v>100</v>
      </c>
      <c r="C66" s="42"/>
      <c r="D66" s="114">
        <f t="shared" ref="D66:J66" si="49">D67+D58</f>
        <v>138581.97700000001</v>
      </c>
      <c r="E66" s="114">
        <f t="shared" si="49"/>
        <v>150187.75700000001</v>
      </c>
      <c r="F66" s="114">
        <f t="shared" si="49"/>
        <v>142444.44300000003</v>
      </c>
      <c r="G66" s="114">
        <f t="shared" si="49"/>
        <v>142567.17200000002</v>
      </c>
      <c r="H66" s="114">
        <f t="shared" si="49"/>
        <v>143688.95500000002</v>
      </c>
      <c r="I66" s="114">
        <f t="shared" si="49"/>
        <v>149185.13200000001</v>
      </c>
      <c r="J66" s="114">
        <f t="shared" si="49"/>
        <v>152534.81300000002</v>
      </c>
      <c r="K66" s="115">
        <f>SUM('Income Statement'!I15:I20,'Income Statement'!I8)</f>
        <v>151743.36403664143</v>
      </c>
      <c r="L66" s="114">
        <f>SUM('Income Statement'!J15:J20,'Income Statement'!J8)</f>
        <v>155032.18767662696</v>
      </c>
      <c r="M66" s="114">
        <f>SUM('Income Statement'!K15:K20,'Income Statement'!K8)</f>
        <v>158297.22672529978</v>
      </c>
      <c r="N66" s="114">
        <f>SUM('Income Statement'!L15:L20,'Income Statement'!L8)</f>
        <v>161551.8364108543</v>
      </c>
      <c r="O66" s="114">
        <f>SUM('Income Statement'!M15:M20,'Income Statement'!M8)</f>
        <v>164921.51707478333</v>
      </c>
      <c r="P66" s="7"/>
      <c r="Q66" s="7"/>
      <c r="R66" s="7"/>
      <c r="S66" s="7"/>
      <c r="T66" s="7"/>
      <c r="U66" s="7"/>
      <c r="V66" s="7"/>
      <c r="W66" s="7"/>
      <c r="X66" s="7"/>
      <c r="Y66" s="7"/>
      <c r="Z66" s="7"/>
      <c r="AB66" s="7"/>
      <c r="AC66" s="7"/>
      <c r="AD66" s="7"/>
      <c r="AE66" s="7"/>
      <c r="AF66" s="7"/>
      <c r="AG66" s="7"/>
      <c r="AH66" s="7"/>
    </row>
    <row r="67" spans="1:34" ht="15.75" customHeight="1">
      <c r="A67" s="7"/>
      <c r="B67" s="45" t="s">
        <v>101</v>
      </c>
      <c r="C67" s="46" t="s">
        <v>53</v>
      </c>
      <c r="D67" s="116">
        <f>138581.977-D58</f>
        <v>103927.10752000002</v>
      </c>
      <c r="E67" s="116">
        <f>150187.757-E58</f>
        <v>116637.57770000001</v>
      </c>
      <c r="F67" s="116">
        <f t="shared" ref="F67:O67" si="50">SUM(F69,F73,F77,F81,F85,F89)</f>
        <v>107812.01600000002</v>
      </c>
      <c r="G67" s="116">
        <f t="shared" si="50"/>
        <v>108849.46100000001</v>
      </c>
      <c r="H67" s="116">
        <f t="shared" si="50"/>
        <v>112719.341</v>
      </c>
      <c r="I67" s="116">
        <f t="shared" si="50"/>
        <v>117797.788</v>
      </c>
      <c r="J67" s="116">
        <f t="shared" si="50"/>
        <v>127511.71900000001</v>
      </c>
      <c r="K67" s="117">
        <f t="shared" si="50"/>
        <v>125735.05575864534</v>
      </c>
      <c r="L67" s="116">
        <f t="shared" si="50"/>
        <v>128355.36017499123</v>
      </c>
      <c r="M67" s="116">
        <f t="shared" si="50"/>
        <v>130910.19951081231</v>
      </c>
      <c r="N67" s="116">
        <f t="shared" si="50"/>
        <v>133484.19962878485</v>
      </c>
      <c r="O67" s="116">
        <f t="shared" si="50"/>
        <v>136135.07231183743</v>
      </c>
      <c r="P67" s="7"/>
      <c r="Q67" s="7"/>
      <c r="R67" s="7"/>
      <c r="S67" s="7"/>
      <c r="T67" s="7"/>
      <c r="U67" s="7"/>
      <c r="V67" s="7"/>
      <c r="W67" s="7"/>
      <c r="X67" s="7"/>
      <c r="Y67" s="7"/>
      <c r="Z67" s="7"/>
      <c r="AB67" s="7"/>
      <c r="AC67" s="7"/>
      <c r="AD67" s="7"/>
      <c r="AE67" s="7"/>
      <c r="AF67" s="7"/>
      <c r="AG67" s="7"/>
      <c r="AH67" s="7"/>
    </row>
    <row r="68" spans="1:34" ht="15.75" customHeight="1">
      <c r="A68" s="7"/>
      <c r="B68" s="7"/>
      <c r="C68" s="29"/>
      <c r="D68" s="30"/>
      <c r="E68" s="30"/>
      <c r="F68" s="30"/>
      <c r="G68" s="30"/>
      <c r="H68" s="30"/>
      <c r="I68" s="30"/>
      <c r="J68" s="30"/>
      <c r="K68" s="53"/>
      <c r="L68" s="30"/>
      <c r="M68" s="30"/>
      <c r="N68" s="30"/>
      <c r="O68" s="30"/>
      <c r="P68" s="7"/>
      <c r="Q68" s="7"/>
      <c r="R68" s="7"/>
      <c r="S68" s="7"/>
      <c r="T68" s="7"/>
      <c r="U68" s="7"/>
      <c r="V68" s="7"/>
      <c r="W68" s="7"/>
      <c r="X68" s="7"/>
      <c r="Y68" s="7"/>
      <c r="Z68" s="7"/>
      <c r="AB68" s="7"/>
      <c r="AC68" s="7"/>
      <c r="AD68" s="7"/>
      <c r="AE68" s="7"/>
      <c r="AF68" s="7"/>
      <c r="AG68" s="7"/>
      <c r="AH68" s="7"/>
    </row>
    <row r="69" spans="1:34" ht="15.75" customHeight="1">
      <c r="A69" s="7"/>
      <c r="B69" s="7" t="s">
        <v>102</v>
      </c>
      <c r="C69" s="29" t="s">
        <v>53</v>
      </c>
      <c r="D69" s="118"/>
      <c r="E69" s="118"/>
      <c r="F69" s="118">
        <v>31864.811000000002</v>
      </c>
      <c r="G69" s="118">
        <v>28029.736000000001</v>
      </c>
      <c r="H69" s="118">
        <v>29728.655999999999</v>
      </c>
      <c r="I69" s="118">
        <v>27285.992999999999</v>
      </c>
      <c r="J69" s="118">
        <v>27459.914000000001</v>
      </c>
      <c r="K69" s="119">
        <f t="shared" ref="K69:O69" si="51">J69*(1+K71)</f>
        <v>28283.71142</v>
      </c>
      <c r="L69" s="120">
        <f t="shared" si="51"/>
        <v>29132.222762600002</v>
      </c>
      <c r="M69" s="120">
        <f t="shared" si="51"/>
        <v>30006.189445478001</v>
      </c>
      <c r="N69" s="120">
        <f t="shared" si="51"/>
        <v>30906.375128842341</v>
      </c>
      <c r="O69" s="120">
        <f t="shared" si="51"/>
        <v>31833.566382707613</v>
      </c>
      <c r="P69" s="600" t="s">
        <v>103</v>
      </c>
      <c r="Q69" s="608"/>
      <c r="R69" s="608"/>
      <c r="S69" s="608"/>
      <c r="T69" s="608"/>
      <c r="U69" s="540"/>
      <c r="V69" s="540"/>
      <c r="W69" s="540"/>
      <c r="X69" s="540"/>
      <c r="Y69" s="540"/>
      <c r="Z69" s="540"/>
      <c r="AA69" s="544"/>
      <c r="AB69" s="540"/>
      <c r="AC69" s="535"/>
      <c r="AD69" s="7"/>
      <c r="AE69" s="7"/>
      <c r="AF69" s="7"/>
      <c r="AG69" s="7"/>
      <c r="AH69" s="7"/>
    </row>
    <row r="70" spans="1:34" ht="15.75" customHeight="1">
      <c r="A70" s="7"/>
      <c r="B70" s="121" t="s">
        <v>104</v>
      </c>
      <c r="C70" s="29" t="s">
        <v>55</v>
      </c>
      <c r="D70" s="50"/>
      <c r="E70" s="50"/>
      <c r="F70" s="50">
        <f t="shared" ref="F70:O70" si="52">F69/F5</f>
        <v>0.15914185667113437</v>
      </c>
      <c r="G70" s="50">
        <f t="shared" si="52"/>
        <v>0.12858784512289989</v>
      </c>
      <c r="H70" s="50">
        <f t="shared" si="52"/>
        <v>0.12864502271152486</v>
      </c>
      <c r="I70" s="50">
        <f t="shared" si="52"/>
        <v>0.11276086515434386</v>
      </c>
      <c r="J70" s="50">
        <f t="shared" si="52"/>
        <v>0.11338952508003081</v>
      </c>
      <c r="K70" s="51">
        <f t="shared" si="52"/>
        <v>0.11418619263339568</v>
      </c>
      <c r="L70" s="50">
        <f t="shared" si="52"/>
        <v>0.11466443638717684</v>
      </c>
      <c r="M70" s="50">
        <f t="shared" si="52"/>
        <v>0.1150416898884347</v>
      </c>
      <c r="N70" s="50">
        <f t="shared" si="52"/>
        <v>0.11561961606263792</v>
      </c>
      <c r="O70" s="50">
        <f t="shared" si="52"/>
        <v>0.11611452882458131</v>
      </c>
      <c r="P70" s="608"/>
      <c r="Q70" s="608"/>
      <c r="R70" s="608"/>
      <c r="S70" s="608"/>
      <c r="T70" s="608"/>
      <c r="U70" s="556"/>
      <c r="V70" s="556"/>
      <c r="W70" s="556"/>
      <c r="X70" s="556"/>
      <c r="Y70" s="556"/>
      <c r="Z70" s="556"/>
      <c r="AA70" s="544"/>
      <c r="AB70" s="544"/>
      <c r="AC70" s="535"/>
      <c r="AD70" s="7"/>
      <c r="AE70" s="7"/>
      <c r="AF70" s="7"/>
      <c r="AG70" s="7"/>
      <c r="AH70" s="7"/>
    </row>
    <row r="71" spans="1:34" ht="15.75" customHeight="1">
      <c r="A71" s="7"/>
      <c r="B71" s="49" t="s">
        <v>59</v>
      </c>
      <c r="C71" s="29" t="s">
        <v>55</v>
      </c>
      <c r="D71" s="30"/>
      <c r="E71" s="30"/>
      <c r="F71" s="61"/>
      <c r="G71" s="61">
        <f t="shared" ref="G71:J71" si="53">(G69/F69)-1</f>
        <v>-0.12035455035336629</v>
      </c>
      <c r="H71" s="61">
        <f t="shared" si="53"/>
        <v>6.0611345037284714E-2</v>
      </c>
      <c r="I71" s="61">
        <f t="shared" si="53"/>
        <v>-8.2165268419803428E-2</v>
      </c>
      <c r="J71" s="61">
        <f t="shared" si="53"/>
        <v>6.3740029545562571E-3</v>
      </c>
      <c r="K71" s="76">
        <v>0.03</v>
      </c>
      <c r="L71" s="74">
        <v>0.03</v>
      </c>
      <c r="M71" s="74">
        <v>0.03</v>
      </c>
      <c r="N71" s="74">
        <v>0.03</v>
      </c>
      <c r="O71" s="74">
        <v>0.03</v>
      </c>
      <c r="P71" s="540"/>
      <c r="Q71" s="540"/>
      <c r="R71" s="540"/>
      <c r="S71" s="540"/>
      <c r="T71" s="540"/>
      <c r="U71" s="540"/>
      <c r="V71" s="540"/>
      <c r="W71" s="540"/>
      <c r="X71" s="540"/>
      <c r="Y71" s="540"/>
      <c r="Z71" s="540"/>
      <c r="AA71" s="544"/>
      <c r="AB71" s="544"/>
      <c r="AC71" s="535"/>
      <c r="AD71" s="7"/>
      <c r="AE71" s="7"/>
      <c r="AF71" s="7"/>
      <c r="AG71" s="7"/>
      <c r="AH71" s="7"/>
    </row>
    <row r="72" spans="1:34" ht="15.75" customHeight="1">
      <c r="A72" s="7"/>
      <c r="B72" s="7"/>
      <c r="C72" s="29"/>
      <c r="D72" s="30"/>
      <c r="E72" s="30"/>
      <c r="F72" s="30"/>
      <c r="G72" s="30"/>
      <c r="H72" s="30"/>
      <c r="I72" s="30"/>
      <c r="J72" s="30"/>
      <c r="K72" s="53"/>
      <c r="L72" s="30"/>
      <c r="M72" s="30"/>
      <c r="N72" s="30"/>
      <c r="O72" s="30"/>
      <c r="P72" s="540"/>
      <c r="Q72" s="540"/>
      <c r="R72" s="540"/>
      <c r="S72" s="540"/>
      <c r="T72" s="540"/>
      <c r="U72" s="540"/>
      <c r="V72" s="540"/>
      <c r="W72" s="540"/>
      <c r="X72" s="540"/>
      <c r="Y72" s="540"/>
      <c r="Z72" s="540"/>
      <c r="AA72" s="544"/>
      <c r="AB72" s="544"/>
      <c r="AC72" s="535"/>
      <c r="AD72" s="7"/>
      <c r="AE72" s="7"/>
      <c r="AF72" s="7"/>
      <c r="AG72" s="7"/>
      <c r="AH72" s="7"/>
    </row>
    <row r="73" spans="1:34" ht="15.75" customHeight="1">
      <c r="A73" s="7"/>
      <c r="B73" s="7" t="s">
        <v>105</v>
      </c>
      <c r="C73" s="29" t="s">
        <v>53</v>
      </c>
      <c r="D73" s="118"/>
      <c r="E73" s="118"/>
      <c r="F73" s="118">
        <v>17710.155999999999</v>
      </c>
      <c r="G73" s="118">
        <v>18364.488000000001</v>
      </c>
      <c r="H73" s="118">
        <v>19063.713</v>
      </c>
      <c r="I73" s="118">
        <v>23382.357</v>
      </c>
      <c r="J73" s="118">
        <v>24950.791000000001</v>
      </c>
      <c r="K73" s="119">
        <f t="shared" ref="K73:O73" si="54">J73*(1+K75)</f>
        <v>25449.806820000002</v>
      </c>
      <c r="L73" s="120">
        <f t="shared" si="54"/>
        <v>25958.802956400003</v>
      </c>
      <c r="M73" s="120">
        <f t="shared" si="54"/>
        <v>26477.979015528002</v>
      </c>
      <c r="N73" s="120">
        <f t="shared" si="54"/>
        <v>27007.538595838563</v>
      </c>
      <c r="O73" s="120">
        <f t="shared" si="54"/>
        <v>27547.689367755334</v>
      </c>
      <c r="P73" s="600" t="s">
        <v>106</v>
      </c>
      <c r="Q73" s="608"/>
      <c r="R73" s="608"/>
      <c r="S73" s="608"/>
      <c r="T73" s="608"/>
      <c r="U73" s="556"/>
      <c r="V73" s="556"/>
      <c r="W73" s="556"/>
      <c r="X73" s="556"/>
      <c r="Y73" s="556"/>
      <c r="Z73" s="556"/>
      <c r="AA73" s="544"/>
      <c r="AB73" s="544"/>
      <c r="AC73" s="535"/>
      <c r="AD73" s="7"/>
      <c r="AE73" s="7"/>
      <c r="AF73" s="7"/>
      <c r="AG73" s="7"/>
      <c r="AH73" s="7"/>
    </row>
    <row r="74" spans="1:34" ht="15.75" customHeight="1">
      <c r="A74" s="7"/>
      <c r="B74" s="121" t="s">
        <v>104</v>
      </c>
      <c r="C74" s="29" t="s">
        <v>55</v>
      </c>
      <c r="D74" s="50"/>
      <c r="E74" s="50"/>
      <c r="F74" s="50"/>
      <c r="G74" s="50">
        <f t="shared" ref="G74:O74" si="55">G73/G5</f>
        <v>8.4248026406861409E-2</v>
      </c>
      <c r="H74" s="50">
        <f t="shared" si="55"/>
        <v>8.249453967414444E-2</v>
      </c>
      <c r="I74" s="50">
        <f t="shared" si="55"/>
        <v>9.6628874920100152E-2</v>
      </c>
      <c r="J74" s="50">
        <f t="shared" si="55"/>
        <v>0.10302866723694426</v>
      </c>
      <c r="K74" s="51">
        <f t="shared" si="55"/>
        <v>0.10274523385132273</v>
      </c>
      <c r="L74" s="50">
        <f t="shared" si="55"/>
        <v>0.10217385520279243</v>
      </c>
      <c r="M74" s="50">
        <f t="shared" si="55"/>
        <v>0.10151477102121355</v>
      </c>
      <c r="N74" s="50">
        <f t="shared" si="55"/>
        <v>0.10103421155765584</v>
      </c>
      <c r="O74" s="50">
        <f t="shared" si="55"/>
        <v>0.10048157761175026</v>
      </c>
      <c r="P74" s="608"/>
      <c r="Q74" s="608"/>
      <c r="R74" s="608"/>
      <c r="S74" s="608"/>
      <c r="T74" s="608"/>
      <c r="U74" s="540"/>
      <c r="V74" s="540"/>
      <c r="W74" s="540"/>
      <c r="X74" s="540"/>
      <c r="Y74" s="540"/>
      <c r="Z74" s="540"/>
      <c r="AA74" s="544"/>
      <c r="AB74" s="544"/>
      <c r="AC74" s="535"/>
      <c r="AD74" s="7"/>
      <c r="AE74" s="7"/>
      <c r="AF74" s="7"/>
      <c r="AG74" s="7"/>
      <c r="AH74" s="7"/>
    </row>
    <row r="75" spans="1:34" ht="15.75" customHeight="1">
      <c r="A75" s="7"/>
      <c r="B75" s="49" t="s">
        <v>59</v>
      </c>
      <c r="C75" s="29" t="s">
        <v>55</v>
      </c>
      <c r="D75" s="30"/>
      <c r="E75" s="30"/>
      <c r="F75" s="61"/>
      <c r="G75" s="61">
        <f t="shared" ref="G75:J75" si="56">(G73/F73)-1</f>
        <v>3.6946710124970306E-2</v>
      </c>
      <c r="H75" s="61">
        <f t="shared" si="56"/>
        <v>3.8074843142917869E-2</v>
      </c>
      <c r="I75" s="61">
        <f t="shared" si="56"/>
        <v>0.22653740118727139</v>
      </c>
      <c r="J75" s="61">
        <f t="shared" si="56"/>
        <v>6.707766885947386E-2</v>
      </c>
      <c r="K75" s="76">
        <v>0.02</v>
      </c>
      <c r="L75" s="74">
        <v>0.02</v>
      </c>
      <c r="M75" s="74">
        <v>0.02</v>
      </c>
      <c r="N75" s="74">
        <v>0.02</v>
      </c>
      <c r="O75" s="74">
        <v>0.02</v>
      </c>
      <c r="P75" s="540"/>
      <c r="Q75" s="540"/>
      <c r="R75" s="540"/>
      <c r="S75" s="540"/>
      <c r="T75" s="540"/>
      <c r="U75" s="540"/>
      <c r="V75" s="540"/>
      <c r="W75" s="540"/>
      <c r="X75" s="540"/>
      <c r="Y75" s="540"/>
      <c r="Z75" s="540"/>
      <c r="AA75" s="544"/>
      <c r="AB75" s="544"/>
      <c r="AC75" s="535"/>
      <c r="AD75" s="7"/>
      <c r="AE75" s="7"/>
      <c r="AF75" s="7"/>
      <c r="AG75" s="7"/>
      <c r="AH75" s="7"/>
    </row>
    <row r="76" spans="1:34" ht="15.75" customHeight="1">
      <c r="A76" s="7"/>
      <c r="B76" s="7"/>
      <c r="C76" s="29"/>
      <c r="D76" s="30"/>
      <c r="E76" s="30"/>
      <c r="F76" s="30"/>
      <c r="G76" s="30"/>
      <c r="H76" s="30"/>
      <c r="I76" s="30"/>
      <c r="J76" s="30"/>
      <c r="K76" s="53"/>
      <c r="L76" s="30"/>
      <c r="M76" s="30"/>
      <c r="N76" s="30"/>
      <c r="O76" s="30"/>
      <c r="P76" s="540"/>
      <c r="Q76" s="540"/>
      <c r="R76" s="540"/>
      <c r="S76" s="540"/>
      <c r="T76" s="540"/>
      <c r="U76" s="540"/>
      <c r="V76" s="540"/>
      <c r="W76" s="540"/>
      <c r="X76" s="540"/>
      <c r="Y76" s="540"/>
      <c r="Z76" s="540"/>
      <c r="AA76" s="544"/>
      <c r="AB76" s="544"/>
      <c r="AC76" s="535"/>
      <c r="AD76" s="7"/>
      <c r="AE76" s="7"/>
      <c r="AF76" s="7"/>
      <c r="AG76" s="7"/>
      <c r="AH76" s="7"/>
    </row>
    <row r="77" spans="1:34" ht="15.75" customHeight="1">
      <c r="A77" s="7"/>
      <c r="B77" s="7" t="s">
        <v>107</v>
      </c>
      <c r="C77" s="29" t="s">
        <v>53</v>
      </c>
      <c r="D77" s="118"/>
      <c r="E77" s="118"/>
      <c r="F77" s="118">
        <f t="shared" ref="F77:J77" si="57">F61</f>
        <v>17913.496999999999</v>
      </c>
      <c r="G77" s="118">
        <f t="shared" si="57"/>
        <v>18123.349999999999</v>
      </c>
      <c r="H77" s="118">
        <f t="shared" si="57"/>
        <v>17204.423999999999</v>
      </c>
      <c r="I77" s="118">
        <f t="shared" si="57"/>
        <v>17788.315999999999</v>
      </c>
      <c r="J77" s="118">
        <f t="shared" si="57"/>
        <v>17010.91</v>
      </c>
      <c r="K77" s="119">
        <f t="shared" ref="K77:O77" si="58">J77*(1+K79)</f>
        <v>16976.888179999998</v>
      </c>
      <c r="L77" s="120">
        <f t="shared" si="58"/>
        <v>16925.957515459999</v>
      </c>
      <c r="M77" s="120">
        <f t="shared" si="58"/>
        <v>16858.253685398158</v>
      </c>
      <c r="N77" s="120">
        <f t="shared" si="58"/>
        <v>16773.962416971168</v>
      </c>
      <c r="O77" s="120">
        <f t="shared" si="58"/>
        <v>16690.092604886311</v>
      </c>
      <c r="P77" s="600" t="s">
        <v>108</v>
      </c>
      <c r="Q77" s="608"/>
      <c r="R77" s="608"/>
      <c r="S77" s="608"/>
      <c r="T77" s="608"/>
      <c r="U77" s="540"/>
      <c r="V77" s="540"/>
      <c r="W77" s="540"/>
      <c r="X77" s="540"/>
      <c r="Y77" s="540"/>
      <c r="Z77" s="540"/>
      <c r="AA77" s="544"/>
      <c r="AB77" s="544"/>
      <c r="AC77" s="535"/>
      <c r="AD77" s="7"/>
      <c r="AE77" s="7"/>
      <c r="AF77" s="7"/>
      <c r="AG77" s="7"/>
      <c r="AH77" s="7"/>
    </row>
    <row r="78" spans="1:34" ht="15.75" customHeight="1">
      <c r="A78" s="7"/>
      <c r="B78" s="121" t="s">
        <v>104</v>
      </c>
      <c r="C78" s="29" t="s">
        <v>55</v>
      </c>
      <c r="D78" s="50"/>
      <c r="E78" s="50"/>
      <c r="F78" s="50">
        <f t="shared" ref="F78:O78" si="59">F77/F5</f>
        <v>8.9465058244117476E-2</v>
      </c>
      <c r="G78" s="50">
        <f t="shared" si="59"/>
        <v>8.3141793519143664E-2</v>
      </c>
      <c r="H78" s="50">
        <f t="shared" si="59"/>
        <v>7.444882527547507E-2</v>
      </c>
      <c r="I78" s="50">
        <f t="shared" si="59"/>
        <v>7.3511193153163137E-2</v>
      </c>
      <c r="J78" s="50">
        <f t="shared" si="59"/>
        <v>7.0242718388671826E-2</v>
      </c>
      <c r="K78" s="51">
        <f t="shared" si="59"/>
        <v>6.8538608503349585E-2</v>
      </c>
      <c r="L78" s="50">
        <f t="shared" si="59"/>
        <v>6.6620573192757881E-2</v>
      </c>
      <c r="M78" s="50">
        <f t="shared" si="59"/>
        <v>6.4633398254719365E-2</v>
      </c>
      <c r="N78" s="50">
        <f t="shared" si="59"/>
        <v>6.2750778323707235E-2</v>
      </c>
      <c r="O78" s="50">
        <f t="shared" si="59"/>
        <v>6.0877949255089686E-2</v>
      </c>
      <c r="P78" s="608"/>
      <c r="Q78" s="608"/>
      <c r="R78" s="608"/>
      <c r="S78" s="608"/>
      <c r="T78" s="608"/>
      <c r="U78" s="540"/>
      <c r="V78" s="540"/>
      <c r="W78" s="540"/>
      <c r="X78" s="540"/>
      <c r="Y78" s="540"/>
      <c r="Z78" s="540"/>
      <c r="AA78" s="544"/>
      <c r="AB78" s="544"/>
      <c r="AC78" s="535"/>
      <c r="AD78" s="7"/>
      <c r="AE78" s="7"/>
      <c r="AF78" s="7"/>
      <c r="AG78" s="7"/>
      <c r="AH78" s="7"/>
    </row>
    <row r="79" spans="1:34" ht="15.75" customHeight="1">
      <c r="A79" s="7"/>
      <c r="B79" s="49" t="s">
        <v>59</v>
      </c>
      <c r="C79" s="29" t="s">
        <v>55</v>
      </c>
      <c r="D79" s="30"/>
      <c r="E79" s="30"/>
      <c r="F79" s="61"/>
      <c r="G79" s="61">
        <f t="shared" ref="G79:J79" si="60">(G77/F77)-1</f>
        <v>1.1714798065391552E-2</v>
      </c>
      <c r="H79" s="61">
        <f t="shared" si="60"/>
        <v>-5.0703981327955394E-2</v>
      </c>
      <c r="I79" s="61">
        <f t="shared" si="60"/>
        <v>3.3938480009560346E-2</v>
      </c>
      <c r="J79" s="61">
        <f t="shared" si="60"/>
        <v>-4.3703181346677167E-2</v>
      </c>
      <c r="K79" s="76">
        <v>-2E-3</v>
      </c>
      <c r="L79" s="74">
        <v>-3.0000000000000001E-3</v>
      </c>
      <c r="M79" s="74">
        <v>-4.0000000000000001E-3</v>
      </c>
      <c r="N79" s="74">
        <v>-5.0000000000000001E-3</v>
      </c>
      <c r="O79" s="74">
        <v>-5.0000000000000001E-3</v>
      </c>
      <c r="P79" s="540"/>
      <c r="Q79" s="540"/>
      <c r="R79" s="540"/>
      <c r="S79" s="540"/>
      <c r="T79" s="540"/>
      <c r="U79" s="540"/>
      <c r="V79" s="540"/>
      <c r="W79" s="540"/>
      <c r="X79" s="540"/>
      <c r="Y79" s="540"/>
      <c r="Z79" s="540"/>
      <c r="AA79" s="544"/>
      <c r="AB79" s="544"/>
      <c r="AC79" s="535"/>
      <c r="AD79" s="7"/>
      <c r="AE79" s="7"/>
      <c r="AF79" s="7"/>
      <c r="AG79" s="7"/>
      <c r="AH79" s="7"/>
    </row>
    <row r="80" spans="1:34" ht="15.75" customHeight="1">
      <c r="A80" s="7"/>
      <c r="B80" s="7"/>
      <c r="C80" s="29"/>
      <c r="D80" s="30"/>
      <c r="E80" s="30"/>
      <c r="F80" s="30"/>
      <c r="G80" s="30"/>
      <c r="H80" s="30"/>
      <c r="I80" s="30"/>
      <c r="J80" s="30"/>
      <c r="K80" s="53"/>
      <c r="L80" s="30"/>
      <c r="M80" s="30"/>
      <c r="N80" s="30"/>
      <c r="O80" s="30"/>
      <c r="P80" s="540"/>
      <c r="Q80" s="537"/>
      <c r="R80" s="537"/>
      <c r="S80" s="537"/>
      <c r="T80" s="537"/>
      <c r="U80" s="537"/>
      <c r="V80" s="537"/>
      <c r="W80" s="537"/>
      <c r="X80" s="537"/>
      <c r="Y80" s="537"/>
      <c r="Z80" s="537"/>
      <c r="AA80" s="544"/>
      <c r="AB80" s="544"/>
      <c r="AC80" s="535"/>
      <c r="AD80" s="7"/>
      <c r="AE80" s="7"/>
      <c r="AF80" s="7"/>
      <c r="AG80" s="7"/>
      <c r="AH80" s="7"/>
    </row>
    <row r="81" spans="1:34" ht="15" customHeight="1">
      <c r="A81" s="7"/>
      <c r="B81" s="7" t="s">
        <v>109</v>
      </c>
      <c r="C81" s="29" t="s">
        <v>53</v>
      </c>
      <c r="D81" s="118"/>
      <c r="E81" s="118"/>
      <c r="F81" s="118">
        <v>15066.152</v>
      </c>
      <c r="G81" s="118">
        <v>16347.494000000001</v>
      </c>
      <c r="H81" s="118">
        <v>17069.589</v>
      </c>
      <c r="I81" s="118">
        <v>9119.1460000000006</v>
      </c>
      <c r="J81" s="118">
        <v>12216.207</v>
      </c>
      <c r="K81" s="119">
        <f t="shared" ref="K81:O81" si="61">J81*(1+K83)</f>
        <v>12704.855280000002</v>
      </c>
      <c r="L81" s="120">
        <f t="shared" si="61"/>
        <v>13086.000938400002</v>
      </c>
      <c r="M81" s="120">
        <f t="shared" si="61"/>
        <v>13347.720957168003</v>
      </c>
      <c r="N81" s="120">
        <f t="shared" si="61"/>
        <v>13614.675376311363</v>
      </c>
      <c r="O81" s="120">
        <f t="shared" si="61"/>
        <v>13886.96888383759</v>
      </c>
      <c r="P81" s="600" t="s">
        <v>110</v>
      </c>
      <c r="Q81" s="608"/>
      <c r="R81" s="608"/>
      <c r="S81" s="608"/>
      <c r="T81" s="608"/>
      <c r="U81" s="544"/>
      <c r="V81" s="544"/>
      <c r="W81" s="544"/>
      <c r="X81" s="544"/>
      <c r="Y81" s="544"/>
      <c r="Z81" s="544"/>
      <c r="AA81" s="544"/>
      <c r="AB81" s="544"/>
      <c r="AC81" s="535"/>
      <c r="AD81" s="7"/>
      <c r="AE81" s="7"/>
      <c r="AF81" s="7"/>
      <c r="AG81" s="7"/>
      <c r="AH81" s="7"/>
    </row>
    <row r="82" spans="1:34" ht="15.75" customHeight="1">
      <c r="A82" s="7"/>
      <c r="B82" s="121" t="s">
        <v>104</v>
      </c>
      <c r="C82" s="29" t="s">
        <v>55</v>
      </c>
      <c r="D82" s="50"/>
      <c r="E82" s="50"/>
      <c r="F82" s="50">
        <f t="shared" ref="F82:O82" si="62">F81/F5</f>
        <v>7.5244613946385069E-2</v>
      </c>
      <c r="G82" s="50">
        <f t="shared" si="62"/>
        <v>7.4994963442379034E-2</v>
      </c>
      <c r="H82" s="50">
        <f t="shared" si="62"/>
        <v>7.386535282931711E-2</v>
      </c>
      <c r="I82" s="50">
        <f t="shared" si="62"/>
        <v>3.7685371847334795E-2</v>
      </c>
      <c r="J82" s="50">
        <f t="shared" si="62"/>
        <v>5.0444073131814905E-2</v>
      </c>
      <c r="K82" s="51">
        <f t="shared" si="62"/>
        <v>5.129167918732408E-2</v>
      </c>
      <c r="L82" s="50">
        <f t="shared" si="62"/>
        <v>5.1506503104529554E-2</v>
      </c>
      <c r="M82" s="50">
        <f t="shared" si="62"/>
        <v>5.1174254493793855E-2</v>
      </c>
      <c r="N82" s="50">
        <f t="shared" si="62"/>
        <v>5.0932001351318999E-2</v>
      </c>
      <c r="O82" s="50">
        <f t="shared" si="62"/>
        <v>5.0653414994819491E-2</v>
      </c>
      <c r="P82" s="608"/>
      <c r="Q82" s="615"/>
      <c r="R82" s="615"/>
      <c r="S82" s="615"/>
      <c r="T82" s="608"/>
      <c r="U82" s="544"/>
      <c r="V82" s="544"/>
      <c r="W82" s="544"/>
      <c r="X82" s="544"/>
      <c r="Y82" s="544"/>
      <c r="Z82" s="544"/>
      <c r="AA82" s="544"/>
      <c r="AB82" s="544"/>
      <c r="AC82" s="536"/>
      <c r="AF82" s="7"/>
      <c r="AG82" s="7"/>
      <c r="AH82" s="7"/>
    </row>
    <row r="83" spans="1:34" ht="15.75" customHeight="1">
      <c r="A83" s="7"/>
      <c r="B83" s="49" t="s">
        <v>59</v>
      </c>
      <c r="C83" s="29" t="s">
        <v>55</v>
      </c>
      <c r="D83" s="30"/>
      <c r="E83" s="30"/>
      <c r="F83" s="61"/>
      <c r="G83" s="61">
        <f t="shared" ref="G83:J83" si="63">(G81/F81)-1</f>
        <v>8.5047728179033388E-2</v>
      </c>
      <c r="H83" s="61">
        <f t="shared" si="63"/>
        <v>4.417160208164006E-2</v>
      </c>
      <c r="I83" s="61">
        <f t="shared" si="63"/>
        <v>-0.46576651611236797</v>
      </c>
      <c r="J83" s="61">
        <f t="shared" si="63"/>
        <v>0.33962182423661158</v>
      </c>
      <c r="K83" s="76">
        <v>0.04</v>
      </c>
      <c r="L83" s="74">
        <v>0.03</v>
      </c>
      <c r="M83" s="74">
        <v>0.02</v>
      </c>
      <c r="N83" s="74">
        <v>0.02</v>
      </c>
      <c r="O83" s="74">
        <v>0.02</v>
      </c>
      <c r="P83" s="608"/>
      <c r="Q83" s="608"/>
      <c r="R83" s="608"/>
      <c r="S83" s="608"/>
      <c r="T83" s="608"/>
      <c r="U83" s="540"/>
      <c r="V83" s="540"/>
      <c r="W83" s="540"/>
      <c r="X83" s="540"/>
      <c r="Y83" s="540"/>
      <c r="Z83" s="540"/>
      <c r="AA83" s="544"/>
      <c r="AB83" s="544"/>
      <c r="AC83" s="535"/>
      <c r="AD83" s="7"/>
      <c r="AE83" s="7"/>
      <c r="AF83" s="7"/>
      <c r="AG83" s="7"/>
      <c r="AH83" s="7"/>
    </row>
    <row r="84" spans="1:34" ht="15.75" customHeight="1">
      <c r="A84" s="7"/>
      <c r="B84" s="7"/>
      <c r="C84" s="29"/>
      <c r="D84" s="30"/>
      <c r="E84" s="30"/>
      <c r="F84" s="30"/>
      <c r="G84" s="30"/>
      <c r="H84" s="30"/>
      <c r="I84" s="30"/>
      <c r="J84" s="30"/>
      <c r="K84" s="53"/>
      <c r="L84" s="30"/>
      <c r="M84" s="30"/>
      <c r="N84" s="30"/>
      <c r="O84" s="30"/>
      <c r="P84" s="540"/>
      <c r="Q84" s="544"/>
      <c r="R84" s="544"/>
      <c r="S84" s="544"/>
      <c r="T84" s="544"/>
      <c r="U84" s="544"/>
      <c r="V84" s="544"/>
      <c r="W84" s="544"/>
      <c r="X84" s="544"/>
      <c r="Y84" s="544"/>
      <c r="Z84" s="544"/>
      <c r="AA84" s="544"/>
      <c r="AB84" s="544"/>
      <c r="AC84" s="536"/>
      <c r="AF84" s="7"/>
      <c r="AG84" s="7"/>
      <c r="AH84" s="7"/>
    </row>
    <row r="85" spans="1:34" ht="15.75" customHeight="1">
      <c r="A85" s="7"/>
      <c r="B85" s="7" t="s">
        <v>111</v>
      </c>
      <c r="C85" s="29" t="s">
        <v>53</v>
      </c>
      <c r="D85" s="118"/>
      <c r="E85" s="118"/>
      <c r="F85" s="118">
        <v>15717.638000000001</v>
      </c>
      <c r="G85" s="118">
        <v>16486.246999999999</v>
      </c>
      <c r="H85" s="118">
        <v>16213.468000000001</v>
      </c>
      <c r="I85" s="118">
        <v>25491.128000000001</v>
      </c>
      <c r="J85" s="118">
        <v>26676.671999999999</v>
      </c>
      <c r="K85" s="119">
        <f t="shared" ref="K85:O85" si="64">J85*(1+K87)</f>
        <v>27210.205439999998</v>
      </c>
      <c r="L85" s="120">
        <f t="shared" si="64"/>
        <v>27754.409548799998</v>
      </c>
      <c r="M85" s="120">
        <f t="shared" si="64"/>
        <v>28309.497739775998</v>
      </c>
      <c r="N85" s="120">
        <f t="shared" si="64"/>
        <v>28875.687694571519</v>
      </c>
      <c r="O85" s="120">
        <f t="shared" si="64"/>
        <v>29453.201448462951</v>
      </c>
      <c r="P85" s="600" t="s">
        <v>112</v>
      </c>
      <c r="Q85" s="608"/>
      <c r="R85" s="608"/>
      <c r="S85" s="608"/>
      <c r="T85" s="608"/>
      <c r="U85" s="544"/>
      <c r="V85" s="544"/>
      <c r="W85" s="544"/>
      <c r="X85" s="544"/>
      <c r="Y85" s="544"/>
      <c r="Z85" s="544"/>
      <c r="AA85" s="544"/>
      <c r="AB85" s="544"/>
      <c r="AC85" s="536"/>
      <c r="AF85" s="7"/>
      <c r="AG85" s="7"/>
      <c r="AH85" s="7"/>
    </row>
    <row r="86" spans="1:34" ht="15.75" customHeight="1">
      <c r="A86" s="7"/>
      <c r="B86" s="121" t="s">
        <v>104</v>
      </c>
      <c r="C86" s="29" t="s">
        <v>55</v>
      </c>
      <c r="D86" s="50"/>
      <c r="E86" s="50"/>
      <c r="F86" s="50">
        <f t="shared" ref="F86:O86" si="65">F85/F5</f>
        <v>7.8498318844721068E-2</v>
      </c>
      <c r="G86" s="50">
        <f t="shared" si="65"/>
        <v>7.5631499914728881E-2</v>
      </c>
      <c r="H86" s="50">
        <f t="shared" si="65"/>
        <v>7.0160654389911939E-2</v>
      </c>
      <c r="I86" s="50">
        <f t="shared" si="65"/>
        <v>0.10534348693265878</v>
      </c>
      <c r="J86" s="50">
        <f t="shared" si="65"/>
        <v>0.11015530379285804</v>
      </c>
      <c r="K86" s="51">
        <f t="shared" si="65"/>
        <v>0.10985226492478867</v>
      </c>
      <c r="L86" s="50">
        <f t="shared" si="65"/>
        <v>0.10924136321852027</v>
      </c>
      <c r="M86" s="50">
        <f t="shared" si="65"/>
        <v>0.1085366892652028</v>
      </c>
      <c r="N86" s="50">
        <f t="shared" si="65"/>
        <v>0.10802288883355214</v>
      </c>
      <c r="O86" s="50">
        <f t="shared" si="65"/>
        <v>0.107432028427123</v>
      </c>
      <c r="P86" s="608"/>
      <c r="Q86" s="608"/>
      <c r="R86" s="608"/>
      <c r="S86" s="608"/>
      <c r="T86" s="608"/>
      <c r="U86" s="544"/>
      <c r="V86" s="544"/>
      <c r="W86" s="544"/>
      <c r="X86" s="544"/>
      <c r="Y86" s="544"/>
      <c r="Z86" s="544"/>
      <c r="AA86" s="544"/>
      <c r="AB86" s="544"/>
      <c r="AC86" s="536"/>
      <c r="AF86" s="7"/>
      <c r="AG86" s="7"/>
      <c r="AH86" s="7"/>
    </row>
    <row r="87" spans="1:34" ht="15.75" customHeight="1">
      <c r="A87" s="7"/>
      <c r="B87" s="49" t="s">
        <v>59</v>
      </c>
      <c r="C87" s="29" t="s">
        <v>55</v>
      </c>
      <c r="D87" s="30"/>
      <c r="E87" s="30"/>
      <c r="F87" s="61"/>
      <c r="G87" s="61">
        <f t="shared" ref="G87:J87" si="66">(G85/F85)-1</f>
        <v>4.8901049890575088E-2</v>
      </c>
      <c r="H87" s="61">
        <f t="shared" si="66"/>
        <v>-1.6545851824250724E-2</v>
      </c>
      <c r="I87" s="61">
        <f t="shared" si="66"/>
        <v>0.57221934258605245</v>
      </c>
      <c r="J87" s="61">
        <f t="shared" si="66"/>
        <v>4.6508102740686841E-2</v>
      </c>
      <c r="K87" s="76">
        <v>0.02</v>
      </c>
      <c r="L87" s="74">
        <v>0.02</v>
      </c>
      <c r="M87" s="74">
        <v>0.02</v>
      </c>
      <c r="N87" s="74">
        <v>0.02</v>
      </c>
      <c r="O87" s="74">
        <v>0.02</v>
      </c>
      <c r="P87" s="540"/>
      <c r="Q87" s="540"/>
      <c r="R87" s="540"/>
      <c r="S87" s="540"/>
      <c r="T87" s="540"/>
      <c r="U87" s="540"/>
      <c r="V87" s="540"/>
      <c r="W87" s="540"/>
      <c r="X87" s="540"/>
      <c r="Y87" s="540"/>
      <c r="Z87" s="540"/>
      <c r="AA87" s="544"/>
      <c r="AB87" s="544"/>
      <c r="AC87" s="535"/>
      <c r="AD87" s="7"/>
      <c r="AE87" s="7"/>
      <c r="AF87" s="7"/>
      <c r="AG87" s="7"/>
      <c r="AH87" s="7"/>
    </row>
    <row r="88" spans="1:34" ht="15.75" customHeight="1">
      <c r="A88" s="7"/>
      <c r="B88" s="7"/>
      <c r="C88" s="29"/>
      <c r="D88" s="30"/>
      <c r="E88" s="30"/>
      <c r="F88" s="30"/>
      <c r="G88" s="30"/>
      <c r="H88" s="30"/>
      <c r="I88" s="30"/>
      <c r="J88" s="30"/>
      <c r="K88" s="53"/>
      <c r="L88" s="30"/>
      <c r="M88" s="30"/>
      <c r="N88" s="30"/>
      <c r="O88" s="30"/>
      <c r="P88" s="540"/>
      <c r="Q88" s="544"/>
      <c r="R88" s="544"/>
      <c r="S88" s="544"/>
      <c r="T88" s="544"/>
      <c r="U88" s="544"/>
      <c r="V88" s="544"/>
      <c r="W88" s="544"/>
      <c r="X88" s="544"/>
      <c r="Y88" s="544"/>
      <c r="Z88" s="544"/>
      <c r="AA88" s="544"/>
      <c r="AB88" s="544"/>
      <c r="AC88" s="536"/>
      <c r="AF88" s="7"/>
      <c r="AG88" s="7"/>
      <c r="AH88" s="7"/>
    </row>
    <row r="89" spans="1:34" ht="15" customHeight="1">
      <c r="A89" s="7"/>
      <c r="B89" s="7" t="s">
        <v>113</v>
      </c>
      <c r="C89" s="29" t="s">
        <v>53</v>
      </c>
      <c r="D89" s="118"/>
      <c r="E89" s="118"/>
      <c r="F89" s="118">
        <v>9539.7620000000006</v>
      </c>
      <c r="G89" s="118">
        <v>11498.146000000001</v>
      </c>
      <c r="H89" s="118">
        <v>13439.491</v>
      </c>
      <c r="I89" s="118">
        <v>14730.848</v>
      </c>
      <c r="J89" s="118">
        <v>19197.224999999999</v>
      </c>
      <c r="K89" s="122">
        <f t="shared" ref="K89:O89" si="67">K90*K5</f>
        <v>15109.588618645343</v>
      </c>
      <c r="L89" s="20">
        <f t="shared" si="67"/>
        <v>15497.966453331235</v>
      </c>
      <c r="M89" s="20">
        <f t="shared" si="67"/>
        <v>15910.558667464153</v>
      </c>
      <c r="N89" s="20">
        <f t="shared" si="67"/>
        <v>16305.960416249882</v>
      </c>
      <c r="O89" s="20">
        <f t="shared" si="67"/>
        <v>16723.553624187618</v>
      </c>
      <c r="P89" s="600" t="s">
        <v>114</v>
      </c>
      <c r="Q89" s="608"/>
      <c r="R89" s="608"/>
      <c r="S89" s="608"/>
      <c r="T89" s="608"/>
      <c r="U89" s="544"/>
      <c r="V89" s="544"/>
      <c r="W89" s="544"/>
      <c r="X89" s="544"/>
      <c r="Y89" s="544"/>
      <c r="Z89" s="544"/>
      <c r="AA89" s="544"/>
      <c r="AB89" s="544"/>
      <c r="AC89" s="536"/>
      <c r="AF89" s="7"/>
      <c r="AG89" s="7"/>
      <c r="AH89" s="7"/>
    </row>
    <row r="90" spans="1:34" ht="15.75" customHeight="1">
      <c r="A90" s="7"/>
      <c r="B90" s="121" t="s">
        <v>104</v>
      </c>
      <c r="C90" s="29" t="s">
        <v>55</v>
      </c>
      <c r="D90" s="50"/>
      <c r="E90" s="50"/>
      <c r="F90" s="50">
        <f t="shared" ref="F90:J90" si="68">F89/F5</f>
        <v>4.7644263036135191E-2</v>
      </c>
      <c r="G90" s="50">
        <f t="shared" si="68"/>
        <v>5.2748331880417679E-2</v>
      </c>
      <c r="H90" s="50">
        <f t="shared" si="68"/>
        <v>5.815680415980911E-2</v>
      </c>
      <c r="I90" s="50">
        <f t="shared" si="68"/>
        <v>6.0876038667060275E-2</v>
      </c>
      <c r="J90" s="50">
        <f t="shared" si="68"/>
        <v>7.9270613360424014E-2</v>
      </c>
      <c r="K90" s="62">
        <v>6.0999999999999999E-2</v>
      </c>
      <c r="L90" s="63">
        <v>6.0999999999999999E-2</v>
      </c>
      <c r="M90" s="63">
        <v>6.0999999999999999E-2</v>
      </c>
      <c r="N90" s="63">
        <v>6.0999999999999999E-2</v>
      </c>
      <c r="O90" s="63">
        <v>6.0999999999999999E-2</v>
      </c>
      <c r="P90" s="608"/>
      <c r="Q90" s="615"/>
      <c r="R90" s="615"/>
      <c r="S90" s="615"/>
      <c r="T90" s="608"/>
      <c r="U90" s="544"/>
      <c r="V90" s="544"/>
      <c r="W90" s="544"/>
      <c r="X90" s="544"/>
      <c r="Y90" s="544"/>
      <c r="Z90" s="544"/>
      <c r="AA90" s="544"/>
      <c r="AB90" s="544"/>
      <c r="AC90" s="536"/>
      <c r="AF90" s="7"/>
      <c r="AG90" s="7"/>
      <c r="AH90" s="7"/>
    </row>
    <row r="91" spans="1:34" ht="15.75" customHeight="1">
      <c r="A91" s="7"/>
      <c r="B91" s="49" t="s">
        <v>59</v>
      </c>
      <c r="C91" s="29" t="s">
        <v>55</v>
      </c>
      <c r="D91" s="30"/>
      <c r="E91" s="30"/>
      <c r="F91" s="61"/>
      <c r="G91" s="61">
        <f t="shared" ref="G91:O91" si="69">(G89/F89)-1</f>
        <v>0.20528646312140708</v>
      </c>
      <c r="H91" s="61">
        <f t="shared" si="69"/>
        <v>0.16883982861236935</v>
      </c>
      <c r="I91" s="61">
        <f t="shared" si="69"/>
        <v>9.6086749118698078E-2</v>
      </c>
      <c r="J91" s="61">
        <f t="shared" si="69"/>
        <v>0.30319890613221978</v>
      </c>
      <c r="K91" s="75">
        <f t="shared" si="69"/>
        <v>-0.21292850301825683</v>
      </c>
      <c r="L91" s="61">
        <f t="shared" si="69"/>
        <v>2.5704064120358083E-2</v>
      </c>
      <c r="M91" s="61">
        <f t="shared" si="69"/>
        <v>2.662234528480556E-2</v>
      </c>
      <c r="N91" s="61">
        <f t="shared" si="69"/>
        <v>2.4851531429521456E-2</v>
      </c>
      <c r="O91" s="61">
        <f t="shared" si="69"/>
        <v>2.560985046434805E-2</v>
      </c>
      <c r="P91" s="608"/>
      <c r="Q91" s="608"/>
      <c r="R91" s="608"/>
      <c r="S91" s="608"/>
      <c r="T91" s="608"/>
      <c r="U91" s="540"/>
      <c r="V91" s="540"/>
      <c r="W91" s="540"/>
      <c r="X91" s="540"/>
      <c r="Y91" s="540"/>
      <c r="Z91" s="540"/>
      <c r="AA91" s="544"/>
      <c r="AB91" s="544"/>
      <c r="AC91" s="535"/>
      <c r="AD91" s="7"/>
      <c r="AE91" s="7"/>
      <c r="AF91" s="7"/>
      <c r="AG91" s="7"/>
      <c r="AH91" s="7"/>
    </row>
    <row r="92" spans="1:34" ht="15.75" customHeight="1">
      <c r="A92" s="7"/>
      <c r="B92" s="7"/>
      <c r="C92" s="29"/>
      <c r="D92" s="30"/>
      <c r="E92" s="30"/>
      <c r="F92" s="30"/>
      <c r="G92" s="30"/>
      <c r="H92" s="30"/>
      <c r="I92" s="30"/>
      <c r="J92" s="30"/>
      <c r="K92" s="53"/>
      <c r="L92" s="30"/>
      <c r="M92" s="30"/>
      <c r="N92" s="30"/>
      <c r="O92" s="30"/>
      <c r="P92" s="540"/>
      <c r="Q92" s="544"/>
      <c r="R92" s="544"/>
      <c r="S92" s="544"/>
      <c r="T92" s="544"/>
      <c r="U92" s="544"/>
      <c r="V92" s="544"/>
      <c r="W92" s="544"/>
      <c r="X92" s="544"/>
      <c r="Y92" s="544"/>
      <c r="Z92" s="544"/>
      <c r="AA92" s="544"/>
      <c r="AB92" s="544"/>
      <c r="AC92" s="536"/>
      <c r="AF92" s="7"/>
      <c r="AG92" s="7"/>
      <c r="AH92" s="7"/>
    </row>
    <row r="93" spans="1:34" ht="15.75" customHeight="1">
      <c r="A93" s="7"/>
      <c r="B93" s="45" t="s">
        <v>115</v>
      </c>
      <c r="C93" s="46" t="s">
        <v>53</v>
      </c>
      <c r="D93" s="102"/>
      <c r="E93" s="102"/>
      <c r="F93" s="102"/>
      <c r="G93" s="102"/>
      <c r="H93" s="102"/>
      <c r="I93" s="102"/>
      <c r="J93" s="102"/>
      <c r="K93" s="123"/>
      <c r="L93" s="102"/>
      <c r="M93" s="102"/>
      <c r="N93" s="102"/>
      <c r="O93" s="102"/>
      <c r="P93" s="540"/>
      <c r="Q93" s="540"/>
      <c r="R93" s="540"/>
      <c r="S93" s="540"/>
      <c r="T93" s="540"/>
      <c r="U93" s="540"/>
      <c r="V93" s="540"/>
      <c r="W93" s="540"/>
      <c r="X93" s="540"/>
      <c r="Y93" s="540"/>
      <c r="Z93" s="540"/>
      <c r="AA93" s="540"/>
      <c r="AB93" s="540"/>
      <c r="AC93" s="535"/>
      <c r="AD93" s="7"/>
      <c r="AE93" s="7"/>
      <c r="AF93" s="7"/>
      <c r="AG93" s="7"/>
      <c r="AH93" s="7"/>
    </row>
    <row r="94" spans="1:34" ht="15.75" customHeight="1">
      <c r="A94" s="7"/>
      <c r="B94" s="7" t="s">
        <v>116</v>
      </c>
      <c r="C94" s="29" t="s">
        <v>53</v>
      </c>
      <c r="D94" s="20"/>
      <c r="E94" s="20"/>
      <c r="F94" s="20">
        <v>363.08499999999998</v>
      </c>
      <c r="G94" s="20">
        <v>27.617000000000001</v>
      </c>
      <c r="H94" s="20">
        <v>-644.39300000000003</v>
      </c>
      <c r="I94" s="20">
        <v>-333.63600000000002</v>
      </c>
      <c r="J94" s="20">
        <v>2528.9299999999998</v>
      </c>
      <c r="K94" s="122">
        <f t="shared" ref="K94:O94" si="70">K95*K5</f>
        <v>0</v>
      </c>
      <c r="L94" s="20">
        <f t="shared" si="70"/>
        <v>0</v>
      </c>
      <c r="M94" s="20">
        <f t="shared" si="70"/>
        <v>0</v>
      </c>
      <c r="N94" s="20">
        <f t="shared" si="70"/>
        <v>0</v>
      </c>
      <c r="O94" s="20">
        <f t="shared" si="70"/>
        <v>0</v>
      </c>
      <c r="P94" s="540"/>
      <c r="Q94" s="540"/>
      <c r="R94" s="540"/>
      <c r="S94" s="540"/>
      <c r="T94" s="540"/>
      <c r="U94" s="540"/>
      <c r="V94" s="540"/>
      <c r="W94" s="540"/>
      <c r="X94" s="540"/>
      <c r="Y94" s="540"/>
      <c r="Z94" s="540"/>
      <c r="AA94" s="540"/>
      <c r="AB94" s="540"/>
      <c r="AC94" s="535"/>
      <c r="AD94" s="7"/>
      <c r="AE94" s="7"/>
      <c r="AF94" s="7"/>
      <c r="AG94" s="7"/>
      <c r="AH94" s="7"/>
    </row>
    <row r="95" spans="1:34" ht="15.75" customHeight="1">
      <c r="A95" s="7"/>
      <c r="B95" s="121" t="s">
        <v>104</v>
      </c>
      <c r="C95" s="29" t="s">
        <v>55</v>
      </c>
      <c r="D95" s="50"/>
      <c r="E95" s="50"/>
      <c r="F95" s="50">
        <f t="shared" ref="F95:J95" si="71">F94/F5</f>
        <v>1.8133489330735028E-3</v>
      </c>
      <c r="G95" s="50">
        <f t="shared" si="71"/>
        <v>1.266943976482378E-4</v>
      </c>
      <c r="H95" s="50">
        <f t="shared" si="71"/>
        <v>-2.7884863722109623E-3</v>
      </c>
      <c r="I95" s="50">
        <f t="shared" si="71"/>
        <v>-1.3787690998320885E-3</v>
      </c>
      <c r="J95" s="50">
        <f t="shared" si="71"/>
        <v>1.0442646384859118E-2</v>
      </c>
      <c r="K95" s="51">
        <v>0</v>
      </c>
      <c r="L95" s="50">
        <v>0</v>
      </c>
      <c r="M95" s="50">
        <v>0</v>
      </c>
      <c r="N95" s="50">
        <v>0</v>
      </c>
      <c r="O95" s="50">
        <v>0</v>
      </c>
      <c r="P95" s="540"/>
      <c r="Q95" s="540"/>
      <c r="R95" s="540"/>
      <c r="S95" s="540"/>
      <c r="T95" s="540"/>
      <c r="U95" s="540"/>
      <c r="V95" s="540"/>
      <c r="W95" s="540"/>
      <c r="X95" s="540"/>
      <c r="Y95" s="540"/>
      <c r="Z95" s="540"/>
      <c r="AA95" s="540"/>
      <c r="AB95" s="540"/>
      <c r="AC95" s="535"/>
      <c r="AD95" s="7"/>
      <c r="AE95" s="7"/>
      <c r="AF95" s="7"/>
      <c r="AG95" s="7"/>
      <c r="AH95" s="7"/>
    </row>
    <row r="96" spans="1:34" ht="15.75" customHeight="1">
      <c r="A96" s="7"/>
      <c r="B96" s="14"/>
      <c r="C96" s="55"/>
      <c r="D96" s="56"/>
      <c r="E96" s="56"/>
      <c r="F96" s="56"/>
      <c r="G96" s="56"/>
      <c r="H96" s="56"/>
      <c r="I96" s="56"/>
      <c r="J96" s="56"/>
      <c r="K96" s="124"/>
      <c r="L96" s="56"/>
      <c r="M96" s="56"/>
      <c r="N96" s="56"/>
      <c r="O96" s="56"/>
      <c r="P96" s="540"/>
      <c r="Q96" s="540"/>
      <c r="R96" s="540"/>
      <c r="S96" s="540"/>
      <c r="T96" s="540"/>
      <c r="U96" s="540"/>
      <c r="V96" s="540"/>
      <c r="W96" s="540"/>
      <c r="X96" s="540"/>
      <c r="Y96" s="540"/>
      <c r="Z96" s="540"/>
      <c r="AA96" s="540"/>
      <c r="AB96" s="540"/>
      <c r="AC96" s="535"/>
      <c r="AD96" s="7"/>
      <c r="AE96" s="7"/>
      <c r="AF96" s="7"/>
      <c r="AG96" s="7"/>
      <c r="AH96" s="7"/>
    </row>
    <row r="97" spans="1:34" ht="15.75" customHeight="1">
      <c r="A97" s="7"/>
      <c r="B97" s="45" t="s">
        <v>75</v>
      </c>
      <c r="C97" s="46" t="s">
        <v>53</v>
      </c>
      <c r="D97" s="102"/>
      <c r="E97" s="102"/>
      <c r="F97" s="102"/>
      <c r="G97" s="102"/>
      <c r="H97" s="102"/>
      <c r="I97" s="102"/>
      <c r="J97" s="102"/>
      <c r="K97" s="123"/>
      <c r="L97" s="102"/>
      <c r="M97" s="102"/>
      <c r="N97" s="102"/>
      <c r="O97" s="102"/>
      <c r="P97" s="540"/>
      <c r="Q97" s="540"/>
      <c r="R97" s="540"/>
      <c r="S97" s="540"/>
      <c r="T97" s="540"/>
      <c r="U97" s="540"/>
      <c r="V97" s="540"/>
      <c r="W97" s="540"/>
      <c r="X97" s="540"/>
      <c r="Y97" s="540"/>
      <c r="Z97" s="540"/>
      <c r="AA97" s="540"/>
      <c r="AB97" s="540"/>
      <c r="AC97" s="535"/>
      <c r="AD97" s="7"/>
      <c r="AE97" s="7"/>
      <c r="AF97" s="7"/>
      <c r="AG97" s="7"/>
      <c r="AH97" s="7"/>
    </row>
    <row r="98" spans="1:34" ht="15.75" customHeight="1">
      <c r="A98" s="7"/>
      <c r="B98" s="7" t="s">
        <v>117</v>
      </c>
      <c r="C98" s="29" t="s">
        <v>55</v>
      </c>
      <c r="D98" s="125"/>
      <c r="E98" s="125"/>
      <c r="F98" s="126">
        <f>(-'Income Statement'!D36)/SUM('Balance Sheet'!D31,'Balance Sheet'!D32,'Balance Sheet'!D40,'Balance Sheet'!D41)</f>
        <v>0.12703213825258472</v>
      </c>
      <c r="G98" s="126">
        <f>(-'Income Statement'!E36)/SUM('Balance Sheet'!E31,'Balance Sheet'!E32,'Balance Sheet'!E40,'Balance Sheet'!E41)</f>
        <v>9.3264531863688216E-2</v>
      </c>
      <c r="H98" s="126">
        <f>(-'Income Statement'!F36)/SUM('Balance Sheet'!F31,'Balance Sheet'!F32,'Balance Sheet'!F40,'Balance Sheet'!F41)</f>
        <v>0.10003541334693483</v>
      </c>
      <c r="I98" s="126">
        <f>(-'Income Statement'!G36)/SUM('Balance Sheet'!G31,'Balance Sheet'!G32,'Balance Sheet'!G40,'Balance Sheet'!G41)</f>
        <v>8.7704033532106748E-2</v>
      </c>
      <c r="J98" s="126">
        <f>(-'Income Statement'!H36)/SUM('Balance Sheet'!H31,'Balance Sheet'!H32,'Balance Sheet'!H40,'Balance Sheet'!H41)</f>
        <v>9.1225526612249849E-2</v>
      </c>
      <c r="K98" s="127"/>
      <c r="L98" s="125"/>
      <c r="M98" s="125"/>
      <c r="N98" s="125"/>
      <c r="O98" s="125"/>
      <c r="P98" s="616" t="s">
        <v>118</v>
      </c>
      <c r="Q98" s="608"/>
      <c r="R98" s="608"/>
      <c r="S98" s="608"/>
      <c r="T98" s="608"/>
      <c r="U98" s="608"/>
      <c r="V98" s="608"/>
      <c r="W98" s="608"/>
      <c r="X98" s="608"/>
      <c r="Y98" s="608"/>
      <c r="Z98" s="608"/>
      <c r="AA98" s="608"/>
      <c r="AB98" s="608"/>
      <c r="AC98" s="555"/>
      <c r="AD98" s="128"/>
      <c r="AE98" s="128"/>
      <c r="AF98" s="7"/>
      <c r="AG98" s="7"/>
      <c r="AH98" s="7"/>
    </row>
    <row r="99" spans="1:34" ht="15.75" customHeight="1">
      <c r="A99" s="7"/>
      <c r="B99" s="7" t="s">
        <v>119</v>
      </c>
      <c r="C99" s="29" t="s">
        <v>55</v>
      </c>
      <c r="D99" s="69"/>
      <c r="E99" s="69"/>
      <c r="F99" s="126">
        <f>'Income Statement'!D37/F100</f>
        <v>0</v>
      </c>
      <c r="G99" s="126">
        <f>'Income Statement'!E37/G100</f>
        <v>1.8677663898642569E-3</v>
      </c>
      <c r="H99" s="126">
        <f>'Income Statement'!F37/H100</f>
        <v>4.5761738090308347E-3</v>
      </c>
      <c r="I99" s="126">
        <f>'Income Statement'!G37/I100</f>
        <v>1.7393465140078897E-2</v>
      </c>
      <c r="J99" s="126">
        <f>'Income Statement'!H37/J100</f>
        <v>2.516875034175841E-2</v>
      </c>
      <c r="K99" s="129">
        <v>2.1299999999999999E-2</v>
      </c>
      <c r="L99" s="69">
        <v>2.1299999999999999E-2</v>
      </c>
      <c r="M99" s="69">
        <v>2.1299999999999999E-2</v>
      </c>
      <c r="N99" s="69">
        <v>2.1299999999999999E-2</v>
      </c>
      <c r="O99" s="69">
        <v>2.1299999999999999E-2</v>
      </c>
      <c r="P99" s="616" t="s">
        <v>120</v>
      </c>
      <c r="Q99" s="608"/>
      <c r="R99" s="608"/>
      <c r="S99" s="540"/>
      <c r="T99" s="540"/>
      <c r="U99" s="540"/>
      <c r="V99" s="540"/>
      <c r="W99" s="540"/>
      <c r="X99" s="540"/>
      <c r="Y99" s="540"/>
      <c r="Z99" s="540"/>
      <c r="AA99" s="540"/>
      <c r="AB99" s="540"/>
      <c r="AC99" s="535"/>
      <c r="AD99" s="7"/>
      <c r="AE99" s="7"/>
      <c r="AF99" s="7"/>
      <c r="AG99" s="7"/>
      <c r="AH99" s="7"/>
    </row>
    <row r="100" spans="1:34" ht="15.75" customHeight="1">
      <c r="A100" s="7"/>
      <c r="B100" s="16" t="s">
        <v>121</v>
      </c>
      <c r="C100" s="29" t="s">
        <v>53</v>
      </c>
      <c r="D100" s="69"/>
      <c r="E100" s="69"/>
      <c r="F100" s="130">
        <f>SUM('Balance Sheet'!D7:D9,'Balance Sheet'!C7:C9)/2</f>
        <v>54710.728499999983</v>
      </c>
      <c r="G100" s="130">
        <f>SUM('Balance Sheet'!E7:E9,'Balance Sheet'!D7:D9)/2</f>
        <v>107616.7775</v>
      </c>
      <c r="H100" s="130">
        <f>SUM('Balance Sheet'!F7:F9,'Balance Sheet'!E7:E9)/2</f>
        <v>106387.56749999999</v>
      </c>
      <c r="I100" s="130">
        <f>SUM('Balance Sheet'!G7:G9,'Balance Sheet'!F7:F9)/2</f>
        <v>85479.919499999975</v>
      </c>
      <c r="J100" s="130">
        <f>SUM('Balance Sheet'!H7:H9,'Balance Sheet'!G7:G9)/2</f>
        <v>91704.036499999973</v>
      </c>
      <c r="K100" s="131">
        <f>SUM('Balance Sheet'!I7:I9,'Balance Sheet'!H7:H9)/2</f>
        <v>109648.19834280568</v>
      </c>
      <c r="L100" s="132">
        <f>SUM('Balance Sheet'!J7:J9,'Balance Sheet'!I7:I9)/2</f>
        <v>100537.72778487869</v>
      </c>
      <c r="M100" s="132">
        <f>SUM('Balance Sheet'!K7:K9,'Balance Sheet'!J7:J9)/2</f>
        <v>101883.62008002504</v>
      </c>
      <c r="N100" s="132">
        <f>SUM('Balance Sheet'!L7:L9,'Balance Sheet'!K7:K9)/2</f>
        <v>103241.31485378179</v>
      </c>
      <c r="O100" s="132">
        <f>SUM('Balance Sheet'!M7:M9,'Balance Sheet'!L7:L9)/2</f>
        <v>104607.41293680073</v>
      </c>
      <c r="P100" s="540"/>
      <c r="Q100" s="540"/>
      <c r="R100" s="540"/>
      <c r="S100" s="540"/>
      <c r="T100" s="540"/>
      <c r="U100" s="540"/>
      <c r="V100" s="540"/>
      <c r="W100" s="540"/>
      <c r="X100" s="540"/>
      <c r="Y100" s="540"/>
      <c r="Z100" s="540"/>
      <c r="AA100" s="540"/>
      <c r="AB100" s="540"/>
      <c r="AC100" s="535"/>
      <c r="AD100" s="7"/>
      <c r="AE100" s="7"/>
      <c r="AF100" s="7"/>
      <c r="AG100" s="7"/>
      <c r="AH100" s="7"/>
    </row>
    <row r="101" spans="1:34" ht="15.75" customHeight="1">
      <c r="A101" s="7"/>
      <c r="B101" s="7" t="s">
        <v>122</v>
      </c>
      <c r="C101" s="29" t="s">
        <v>55</v>
      </c>
      <c r="D101" s="69"/>
      <c r="E101" s="69"/>
      <c r="F101" s="106">
        <v>0</v>
      </c>
      <c r="G101" s="106">
        <v>0</v>
      </c>
      <c r="H101" s="106">
        <v>0</v>
      </c>
      <c r="I101" s="106">
        <v>0</v>
      </c>
      <c r="J101" s="106">
        <v>0</v>
      </c>
      <c r="K101" s="129">
        <v>0</v>
      </c>
      <c r="L101" s="69">
        <v>0</v>
      </c>
      <c r="M101" s="69">
        <v>0</v>
      </c>
      <c r="N101" s="69">
        <v>0</v>
      </c>
      <c r="O101" s="69">
        <v>0</v>
      </c>
      <c r="P101" s="7"/>
      <c r="Q101" s="7"/>
      <c r="R101" s="7"/>
      <c r="S101" s="7"/>
      <c r="T101" s="7"/>
      <c r="U101" s="7"/>
      <c r="V101" s="7"/>
      <c r="W101" s="7"/>
      <c r="X101" s="7"/>
      <c r="Y101" s="7"/>
      <c r="Z101" s="7"/>
      <c r="AA101" s="7"/>
      <c r="AB101" s="7"/>
      <c r="AC101" s="7"/>
      <c r="AD101" s="7"/>
      <c r="AE101" s="7"/>
      <c r="AF101" s="7"/>
      <c r="AG101" s="7"/>
      <c r="AH101" s="7"/>
    </row>
    <row r="102" spans="1:34" ht="15.75" customHeight="1">
      <c r="A102" s="7"/>
      <c r="B102" s="7"/>
      <c r="C102" s="29"/>
      <c r="D102" s="30"/>
      <c r="E102" s="30"/>
      <c r="F102" s="30"/>
      <c r="G102" s="30"/>
      <c r="H102" s="30"/>
      <c r="I102" s="30"/>
      <c r="J102" s="30"/>
      <c r="K102" s="7"/>
      <c r="L102" s="7"/>
      <c r="M102" s="7"/>
      <c r="N102" s="7"/>
      <c r="O102" s="7"/>
      <c r="P102" s="7"/>
      <c r="Q102" s="7"/>
      <c r="R102" s="7"/>
      <c r="S102" s="7"/>
      <c r="T102" s="7"/>
      <c r="U102" s="7"/>
      <c r="V102" s="7"/>
      <c r="W102" s="7"/>
      <c r="X102" s="7"/>
      <c r="Y102" s="7"/>
      <c r="Z102" s="7"/>
      <c r="AA102" s="7"/>
      <c r="AB102" s="7"/>
      <c r="AC102" s="7"/>
      <c r="AD102" s="7"/>
      <c r="AE102" s="7"/>
      <c r="AF102" s="7"/>
      <c r="AG102" s="7"/>
      <c r="AH102" s="7"/>
    </row>
    <row r="103" spans="1:34" ht="15.75" customHeight="1">
      <c r="A103" s="7"/>
      <c r="B103" s="7"/>
      <c r="C103" s="29"/>
      <c r="D103" s="30"/>
      <c r="E103" s="30"/>
      <c r="F103" s="30"/>
      <c r="G103" s="30"/>
      <c r="H103" s="30"/>
      <c r="I103" s="30"/>
      <c r="J103" s="30"/>
      <c r="K103" s="7"/>
      <c r="L103" s="7"/>
      <c r="M103" s="7"/>
      <c r="N103" s="7"/>
      <c r="O103" s="7"/>
      <c r="P103" s="7"/>
      <c r="Q103" s="7"/>
      <c r="R103" s="7"/>
      <c r="S103" s="7"/>
      <c r="T103" s="7"/>
      <c r="U103" s="7"/>
      <c r="V103" s="7"/>
      <c r="W103" s="7"/>
      <c r="X103" s="7"/>
      <c r="Y103" s="7"/>
      <c r="Z103" s="7"/>
      <c r="AA103" s="7"/>
      <c r="AB103" s="7"/>
      <c r="AC103" s="7"/>
      <c r="AD103" s="7"/>
      <c r="AE103" s="7"/>
      <c r="AF103" s="7"/>
      <c r="AG103" s="7"/>
      <c r="AH103" s="7"/>
    </row>
    <row r="104" spans="1:34" ht="15.75" customHeight="1">
      <c r="A104" s="7"/>
      <c r="B104" s="7"/>
      <c r="C104" s="133"/>
      <c r="D104" s="30"/>
      <c r="E104" s="30"/>
      <c r="F104" s="30"/>
      <c r="G104" s="30"/>
      <c r="H104" s="30"/>
      <c r="I104" s="30"/>
      <c r="J104" s="30"/>
      <c r="K104" s="7"/>
      <c r="L104" s="7"/>
      <c r="M104" s="7"/>
      <c r="N104" s="7"/>
      <c r="O104" s="7"/>
      <c r="P104" s="7"/>
      <c r="Q104" s="7"/>
      <c r="R104" s="7"/>
      <c r="S104" s="7"/>
      <c r="T104" s="7"/>
      <c r="U104" s="7"/>
      <c r="V104" s="7"/>
      <c r="W104" s="7"/>
      <c r="X104" s="7"/>
      <c r="Y104" s="7"/>
      <c r="Z104" s="7"/>
      <c r="AA104" s="7"/>
      <c r="AB104" s="7"/>
      <c r="AC104" s="7"/>
      <c r="AD104" s="7"/>
      <c r="AE104" s="7"/>
      <c r="AF104" s="7"/>
      <c r="AG104" s="7"/>
      <c r="AH104" s="7"/>
    </row>
    <row r="105" spans="1:34" ht="15.75" customHeight="1">
      <c r="A105" s="7"/>
      <c r="B105" s="7"/>
      <c r="C105" s="29"/>
      <c r="D105" s="30"/>
      <c r="E105" s="30"/>
      <c r="F105" s="30"/>
      <c r="G105" s="30"/>
      <c r="H105" s="30"/>
      <c r="I105" s="30"/>
      <c r="J105" s="30"/>
      <c r="K105" s="7"/>
      <c r="L105" s="7"/>
      <c r="M105" s="7"/>
      <c r="N105" s="7"/>
      <c r="O105" s="7"/>
      <c r="P105" s="7"/>
      <c r="Q105" s="7"/>
      <c r="R105" s="7"/>
      <c r="S105" s="7"/>
      <c r="T105" s="7"/>
      <c r="U105" s="7"/>
      <c r="V105" s="7"/>
      <c r="W105" s="7"/>
      <c r="X105" s="7"/>
      <c r="Y105" s="7"/>
      <c r="Z105" s="7"/>
      <c r="AA105" s="7"/>
      <c r="AB105" s="7"/>
      <c r="AC105" s="7"/>
      <c r="AD105" s="7"/>
      <c r="AE105" s="7"/>
      <c r="AF105" s="7"/>
      <c r="AG105" s="7"/>
      <c r="AH105" s="7"/>
    </row>
    <row r="106" spans="1:34" ht="15.75" customHeight="1">
      <c r="A106" s="7"/>
      <c r="B106" s="7"/>
      <c r="C106" s="29"/>
      <c r="D106" s="30"/>
      <c r="E106" s="30"/>
      <c r="F106" s="30"/>
      <c r="G106" s="30"/>
      <c r="H106" s="30"/>
      <c r="I106" s="30"/>
      <c r="J106" s="30"/>
      <c r="K106" s="7"/>
      <c r="L106" s="7"/>
      <c r="M106" s="7"/>
      <c r="N106" s="7"/>
      <c r="O106" s="7"/>
      <c r="P106" s="7"/>
      <c r="Q106" s="7"/>
      <c r="R106" s="7"/>
      <c r="S106" s="7"/>
      <c r="T106" s="7"/>
      <c r="U106" s="7"/>
      <c r="V106" s="7"/>
      <c r="W106" s="7"/>
      <c r="X106" s="7"/>
      <c r="Y106" s="7"/>
      <c r="Z106" s="7"/>
      <c r="AA106" s="7"/>
      <c r="AB106" s="7"/>
      <c r="AC106" s="7"/>
      <c r="AD106" s="7"/>
      <c r="AE106" s="7"/>
      <c r="AF106" s="7"/>
      <c r="AG106" s="7"/>
      <c r="AH106" s="7"/>
    </row>
    <row r="107" spans="1:34" ht="15.75" customHeight="1">
      <c r="A107" s="7"/>
      <c r="B107" s="7"/>
      <c r="C107" s="29"/>
      <c r="D107" s="30"/>
      <c r="E107" s="30"/>
      <c r="F107" s="30"/>
      <c r="G107" s="30"/>
      <c r="H107" s="30"/>
      <c r="I107" s="30"/>
      <c r="J107" s="30"/>
      <c r="K107" s="7"/>
      <c r="L107" s="7"/>
      <c r="M107" s="7"/>
      <c r="N107" s="7"/>
      <c r="O107" s="7"/>
      <c r="P107" s="7"/>
      <c r="Q107" s="7"/>
      <c r="R107" s="7"/>
      <c r="S107" s="7"/>
      <c r="T107" s="7"/>
      <c r="U107" s="7"/>
      <c r="V107" s="7"/>
      <c r="W107" s="7"/>
      <c r="X107" s="7"/>
      <c r="Y107" s="7"/>
      <c r="Z107" s="7"/>
      <c r="AA107" s="7"/>
      <c r="AB107" s="7"/>
      <c r="AC107" s="7"/>
      <c r="AD107" s="7"/>
      <c r="AE107" s="7"/>
      <c r="AF107" s="7"/>
      <c r="AG107" s="7"/>
      <c r="AH107" s="7"/>
    </row>
    <row r="108" spans="1:34" ht="15.75" customHeight="1">
      <c r="A108" s="7"/>
      <c r="B108" s="7"/>
      <c r="C108" s="29"/>
      <c r="D108" s="30"/>
      <c r="E108" s="30"/>
      <c r="F108" s="30"/>
      <c r="G108" s="30"/>
      <c r="H108" s="30"/>
      <c r="I108" s="30"/>
      <c r="J108" s="30"/>
      <c r="K108" s="7"/>
      <c r="L108" s="7"/>
      <c r="M108" s="7"/>
      <c r="N108" s="7"/>
      <c r="O108" s="7"/>
      <c r="P108" s="7"/>
      <c r="Q108" s="7"/>
      <c r="R108" s="7"/>
      <c r="S108" s="7"/>
      <c r="T108" s="7"/>
      <c r="U108" s="7"/>
      <c r="V108" s="7"/>
      <c r="W108" s="7"/>
      <c r="X108" s="7"/>
      <c r="Y108" s="7"/>
      <c r="Z108" s="7"/>
      <c r="AA108" s="7"/>
      <c r="AB108" s="7"/>
      <c r="AC108" s="7"/>
      <c r="AD108" s="7"/>
      <c r="AE108" s="7"/>
      <c r="AF108" s="7"/>
      <c r="AG108" s="7"/>
      <c r="AH108" s="7"/>
    </row>
    <row r="109" spans="1:34" ht="15.75" customHeight="1">
      <c r="A109" s="7"/>
      <c r="B109" s="7"/>
      <c r="C109" s="29"/>
      <c r="D109" s="30"/>
      <c r="E109" s="30"/>
      <c r="F109" s="30"/>
      <c r="G109" s="30"/>
      <c r="H109" s="30"/>
      <c r="I109" s="30"/>
      <c r="J109" s="30"/>
      <c r="K109" s="7"/>
      <c r="L109" s="7"/>
      <c r="M109" s="7"/>
      <c r="N109" s="7"/>
      <c r="O109" s="7"/>
      <c r="P109" s="7"/>
      <c r="Q109" s="7"/>
      <c r="R109" s="7"/>
      <c r="S109" s="7"/>
      <c r="T109" s="7"/>
      <c r="U109" s="7"/>
      <c r="V109" s="7"/>
      <c r="W109" s="7"/>
      <c r="X109" s="7"/>
      <c r="Y109" s="7"/>
      <c r="Z109" s="7"/>
      <c r="AA109" s="7"/>
      <c r="AB109" s="7"/>
      <c r="AC109" s="7"/>
      <c r="AD109" s="7"/>
      <c r="AE109" s="7"/>
      <c r="AF109" s="7"/>
      <c r="AG109" s="7"/>
      <c r="AH109" s="7"/>
    </row>
    <row r="110" spans="1:34" ht="15.75" customHeight="1">
      <c r="A110" s="7"/>
      <c r="B110" s="7"/>
      <c r="C110" s="29"/>
      <c r="D110" s="30"/>
      <c r="E110" s="30"/>
      <c r="F110" s="30"/>
      <c r="G110" s="30"/>
      <c r="H110" s="30"/>
      <c r="I110" s="30"/>
      <c r="J110" s="30"/>
      <c r="K110" s="7"/>
      <c r="L110" s="7"/>
      <c r="M110" s="7"/>
      <c r="N110" s="7"/>
      <c r="O110" s="7"/>
      <c r="P110" s="7"/>
      <c r="Q110" s="7"/>
      <c r="R110" s="7"/>
      <c r="S110" s="7"/>
      <c r="T110" s="7"/>
      <c r="U110" s="7"/>
      <c r="V110" s="7"/>
      <c r="W110" s="7"/>
      <c r="X110" s="7"/>
      <c r="Y110" s="7"/>
      <c r="Z110" s="7"/>
      <c r="AA110" s="7"/>
      <c r="AB110" s="7"/>
      <c r="AC110" s="7"/>
      <c r="AD110" s="7"/>
      <c r="AE110" s="7"/>
      <c r="AF110" s="7"/>
      <c r="AG110" s="7"/>
      <c r="AH110" s="7"/>
    </row>
    <row r="111" spans="1:34" ht="15.75" customHeight="1">
      <c r="A111" s="7"/>
      <c r="B111" s="7"/>
      <c r="C111" s="29"/>
      <c r="D111" s="30"/>
      <c r="E111" s="30"/>
      <c r="F111" s="30"/>
      <c r="G111" s="30"/>
      <c r="H111" s="30"/>
      <c r="I111" s="30"/>
      <c r="J111" s="30"/>
      <c r="K111" s="7"/>
      <c r="L111" s="7"/>
      <c r="M111" s="7"/>
      <c r="N111" s="7"/>
      <c r="O111" s="7"/>
      <c r="P111" s="7"/>
      <c r="Q111" s="7"/>
      <c r="R111" s="7"/>
      <c r="S111" s="7"/>
      <c r="T111" s="7"/>
      <c r="U111" s="7"/>
      <c r="V111" s="7"/>
      <c r="W111" s="7"/>
      <c r="X111" s="7"/>
      <c r="Y111" s="7"/>
      <c r="Z111" s="7"/>
      <c r="AA111" s="7"/>
      <c r="AB111" s="7"/>
      <c r="AC111" s="7"/>
      <c r="AD111" s="7"/>
      <c r="AE111" s="7"/>
      <c r="AF111" s="7"/>
      <c r="AG111" s="7"/>
      <c r="AH111" s="7"/>
    </row>
    <row r="112" spans="1:34" ht="15.75" customHeight="1">
      <c r="A112" s="7"/>
      <c r="B112" s="7"/>
      <c r="C112" s="29"/>
      <c r="D112" s="30"/>
      <c r="E112" s="30"/>
      <c r="F112" s="30"/>
      <c r="G112" s="30"/>
      <c r="H112" s="30"/>
      <c r="I112" s="30"/>
      <c r="J112" s="30"/>
      <c r="K112" s="7"/>
      <c r="L112" s="7"/>
      <c r="M112" s="7"/>
      <c r="N112" s="7"/>
      <c r="O112" s="7"/>
      <c r="P112" s="7"/>
      <c r="Q112" s="7"/>
      <c r="R112" s="7"/>
      <c r="S112" s="7"/>
      <c r="T112" s="7"/>
      <c r="U112" s="7"/>
      <c r="V112" s="7"/>
      <c r="W112" s="7"/>
      <c r="X112" s="7"/>
      <c r="Y112" s="7"/>
      <c r="Z112" s="7"/>
      <c r="AA112" s="7"/>
      <c r="AB112" s="7"/>
      <c r="AC112" s="7"/>
      <c r="AD112" s="7"/>
      <c r="AE112" s="7"/>
      <c r="AF112" s="7"/>
      <c r="AG112" s="7"/>
      <c r="AH112" s="7"/>
    </row>
    <row r="113" spans="1:34" ht="15.75" customHeight="1">
      <c r="A113" s="7"/>
      <c r="B113" s="7"/>
      <c r="C113" s="29"/>
      <c r="D113" s="30"/>
      <c r="E113" s="30"/>
      <c r="F113" s="30"/>
      <c r="G113" s="30"/>
      <c r="H113" s="30"/>
      <c r="I113" s="30"/>
      <c r="J113" s="30"/>
      <c r="K113" s="7"/>
      <c r="L113" s="7"/>
      <c r="M113" s="7"/>
      <c r="N113" s="7"/>
      <c r="O113" s="7"/>
      <c r="P113" s="7"/>
      <c r="Q113" s="7"/>
      <c r="R113" s="7"/>
      <c r="S113" s="7"/>
      <c r="T113" s="7"/>
      <c r="U113" s="7"/>
      <c r="V113" s="7"/>
      <c r="W113" s="7"/>
      <c r="X113" s="7"/>
      <c r="Y113" s="7"/>
      <c r="Z113" s="7"/>
      <c r="AA113" s="7"/>
      <c r="AB113" s="7"/>
      <c r="AC113" s="7"/>
      <c r="AD113" s="7"/>
      <c r="AE113" s="7"/>
      <c r="AF113" s="7"/>
      <c r="AG113" s="7"/>
      <c r="AH113" s="7"/>
    </row>
    <row r="114" spans="1:34" ht="15.75" customHeight="1">
      <c r="A114" s="7"/>
      <c r="B114" s="7"/>
      <c r="C114" s="29"/>
      <c r="D114" s="30"/>
      <c r="E114" s="30"/>
      <c r="F114" s="30"/>
      <c r="G114" s="30"/>
      <c r="H114" s="30"/>
      <c r="I114" s="30"/>
      <c r="J114" s="30"/>
      <c r="K114" s="7"/>
      <c r="L114" s="7"/>
      <c r="M114" s="7"/>
      <c r="N114" s="7"/>
      <c r="O114" s="7"/>
      <c r="P114" s="7"/>
      <c r="Q114" s="7"/>
      <c r="R114" s="7"/>
      <c r="S114" s="7"/>
      <c r="T114" s="7"/>
      <c r="U114" s="7"/>
      <c r="V114" s="7"/>
      <c r="W114" s="7"/>
      <c r="X114" s="7"/>
      <c r="Y114" s="7"/>
      <c r="Z114" s="7"/>
      <c r="AA114" s="7"/>
      <c r="AB114" s="7"/>
      <c r="AC114" s="7"/>
      <c r="AD114" s="7"/>
      <c r="AE114" s="7"/>
      <c r="AF114" s="7"/>
      <c r="AG114" s="7"/>
      <c r="AH114" s="7"/>
    </row>
    <row r="115" spans="1:34" ht="15.75" customHeight="1">
      <c r="A115" s="7"/>
      <c r="B115" s="7"/>
      <c r="C115" s="29"/>
      <c r="D115" s="30"/>
      <c r="E115" s="30"/>
      <c r="F115" s="30"/>
      <c r="G115" s="30"/>
      <c r="H115" s="30"/>
      <c r="I115" s="30"/>
      <c r="J115" s="30"/>
      <c r="K115" s="7"/>
      <c r="L115" s="7"/>
      <c r="M115" s="7"/>
      <c r="N115" s="7"/>
      <c r="O115" s="7"/>
      <c r="P115" s="7"/>
      <c r="Q115" s="7"/>
      <c r="R115" s="7"/>
      <c r="S115" s="7"/>
      <c r="T115" s="7"/>
      <c r="U115" s="7"/>
      <c r="V115" s="7"/>
      <c r="W115" s="7"/>
      <c r="X115" s="7"/>
      <c r="Y115" s="7"/>
      <c r="Z115" s="7"/>
      <c r="AA115" s="7"/>
      <c r="AB115" s="7"/>
      <c r="AC115" s="7"/>
      <c r="AD115" s="7"/>
      <c r="AE115" s="7"/>
      <c r="AF115" s="7"/>
      <c r="AG115" s="7"/>
      <c r="AH115" s="7"/>
    </row>
    <row r="116" spans="1:34" ht="15.75" customHeight="1">
      <c r="A116" s="7"/>
      <c r="B116" s="7"/>
      <c r="C116" s="29"/>
      <c r="D116" s="30"/>
      <c r="E116" s="30"/>
      <c r="F116" s="30"/>
      <c r="G116" s="30"/>
      <c r="H116" s="30"/>
      <c r="I116" s="30"/>
      <c r="J116" s="30"/>
      <c r="K116" s="7"/>
      <c r="L116" s="7"/>
      <c r="M116" s="7"/>
      <c r="N116" s="7"/>
      <c r="O116" s="7"/>
      <c r="P116" s="7"/>
      <c r="Q116" s="7"/>
      <c r="R116" s="7"/>
      <c r="S116" s="7"/>
      <c r="T116" s="7"/>
      <c r="U116" s="7"/>
      <c r="V116" s="7"/>
      <c r="W116" s="7"/>
      <c r="X116" s="7"/>
      <c r="Y116" s="7"/>
      <c r="Z116" s="7"/>
      <c r="AA116" s="7"/>
      <c r="AB116" s="7"/>
      <c r="AC116" s="7"/>
      <c r="AD116" s="7"/>
      <c r="AE116" s="7"/>
      <c r="AF116" s="7"/>
      <c r="AG116" s="7"/>
      <c r="AH116" s="7"/>
    </row>
    <row r="117" spans="1:34" ht="15.75" customHeight="1">
      <c r="A117" s="7"/>
      <c r="B117" s="7"/>
      <c r="C117" s="29"/>
      <c r="D117" s="30"/>
      <c r="E117" s="30"/>
      <c r="F117" s="30"/>
      <c r="G117" s="30"/>
      <c r="H117" s="30"/>
      <c r="I117" s="30"/>
      <c r="J117" s="30"/>
      <c r="K117" s="7"/>
      <c r="L117" s="7"/>
      <c r="M117" s="7"/>
      <c r="N117" s="7"/>
      <c r="O117" s="7"/>
      <c r="P117" s="7"/>
      <c r="Q117" s="7"/>
      <c r="R117" s="7"/>
      <c r="S117" s="7"/>
      <c r="T117" s="7"/>
      <c r="U117" s="7"/>
      <c r="V117" s="7"/>
      <c r="W117" s="7"/>
      <c r="X117" s="7"/>
      <c r="Y117" s="7"/>
      <c r="Z117" s="7"/>
      <c r="AA117" s="7"/>
      <c r="AB117" s="7"/>
      <c r="AC117" s="7"/>
      <c r="AD117" s="7"/>
      <c r="AE117" s="7"/>
      <c r="AF117" s="7"/>
      <c r="AG117" s="7"/>
      <c r="AH117" s="7"/>
    </row>
    <row r="118" spans="1:34" ht="15.75" customHeight="1">
      <c r="A118" s="7"/>
      <c r="B118" s="7"/>
      <c r="C118" s="29"/>
      <c r="D118" s="30"/>
      <c r="E118" s="30"/>
      <c r="F118" s="30"/>
      <c r="G118" s="30"/>
      <c r="H118" s="30"/>
      <c r="I118" s="30"/>
      <c r="J118" s="30"/>
      <c r="K118" s="7"/>
      <c r="L118" s="7"/>
      <c r="M118" s="7"/>
      <c r="N118" s="7"/>
      <c r="O118" s="7"/>
      <c r="P118" s="7"/>
      <c r="Q118" s="7"/>
      <c r="R118" s="7"/>
      <c r="S118" s="7"/>
      <c r="T118" s="7"/>
      <c r="U118" s="7"/>
      <c r="V118" s="7"/>
      <c r="W118" s="7"/>
      <c r="X118" s="7"/>
      <c r="Y118" s="7"/>
      <c r="Z118" s="7"/>
      <c r="AA118" s="7"/>
      <c r="AB118" s="7"/>
      <c r="AC118" s="7"/>
      <c r="AD118" s="7"/>
      <c r="AE118" s="7"/>
      <c r="AF118" s="7"/>
      <c r="AG118" s="7"/>
      <c r="AH118" s="7"/>
    </row>
    <row r="119" spans="1:34" ht="15.75" customHeight="1">
      <c r="A119" s="7"/>
      <c r="B119" s="7"/>
      <c r="C119" s="29"/>
      <c r="D119" s="30"/>
      <c r="E119" s="30"/>
      <c r="F119" s="30"/>
      <c r="G119" s="30"/>
      <c r="H119" s="30"/>
      <c r="I119" s="30"/>
      <c r="J119" s="30"/>
      <c r="K119" s="7"/>
      <c r="L119" s="7"/>
      <c r="M119" s="7"/>
      <c r="N119" s="7"/>
      <c r="O119" s="7"/>
      <c r="P119" s="7"/>
      <c r="Q119" s="7"/>
      <c r="R119" s="7"/>
      <c r="S119" s="7"/>
      <c r="T119" s="7"/>
      <c r="U119" s="7"/>
      <c r="V119" s="7"/>
      <c r="W119" s="7"/>
      <c r="X119" s="7"/>
      <c r="Y119" s="7"/>
      <c r="Z119" s="7"/>
      <c r="AA119" s="7"/>
      <c r="AB119" s="7"/>
      <c r="AC119" s="7"/>
      <c r="AD119" s="7"/>
      <c r="AE119" s="7"/>
      <c r="AF119" s="7"/>
      <c r="AG119" s="7"/>
      <c r="AH119" s="7"/>
    </row>
    <row r="120" spans="1:34" ht="15.75" customHeight="1">
      <c r="A120" s="7"/>
      <c r="B120" s="7"/>
      <c r="C120" s="29"/>
      <c r="D120" s="30"/>
      <c r="E120" s="30"/>
      <c r="F120" s="30"/>
      <c r="G120" s="30"/>
      <c r="H120" s="30"/>
      <c r="I120" s="30"/>
      <c r="J120" s="30"/>
      <c r="K120" s="7"/>
      <c r="L120" s="7"/>
      <c r="M120" s="7"/>
      <c r="N120" s="7"/>
      <c r="O120" s="7"/>
      <c r="P120" s="7"/>
      <c r="Q120" s="7"/>
      <c r="R120" s="7"/>
      <c r="S120" s="7"/>
      <c r="T120" s="7"/>
      <c r="U120" s="7"/>
      <c r="V120" s="7"/>
      <c r="W120" s="7"/>
      <c r="X120" s="7"/>
      <c r="Y120" s="7"/>
      <c r="Z120" s="7"/>
      <c r="AA120" s="7"/>
      <c r="AB120" s="7"/>
      <c r="AC120" s="7"/>
      <c r="AD120" s="7"/>
      <c r="AE120" s="7"/>
      <c r="AF120" s="7"/>
      <c r="AG120" s="7"/>
      <c r="AH120" s="7"/>
    </row>
    <row r="121" spans="1:34" ht="15.75" customHeight="1">
      <c r="A121" s="7"/>
      <c r="B121" s="7"/>
      <c r="C121" s="29"/>
      <c r="D121" s="30"/>
      <c r="E121" s="30"/>
      <c r="F121" s="30"/>
      <c r="G121" s="30"/>
      <c r="H121" s="30"/>
      <c r="I121" s="30"/>
      <c r="J121" s="30"/>
      <c r="K121" s="7"/>
      <c r="L121" s="7"/>
      <c r="M121" s="7"/>
      <c r="N121" s="7"/>
      <c r="O121" s="7"/>
      <c r="P121" s="7"/>
      <c r="Q121" s="7"/>
      <c r="R121" s="7"/>
      <c r="S121" s="7"/>
      <c r="T121" s="7"/>
      <c r="U121" s="7"/>
      <c r="V121" s="7"/>
      <c r="W121" s="7"/>
      <c r="X121" s="7"/>
      <c r="Y121" s="7"/>
      <c r="Z121" s="7"/>
      <c r="AA121" s="7"/>
      <c r="AB121" s="7"/>
      <c r="AC121" s="7"/>
      <c r="AD121" s="7"/>
      <c r="AE121" s="7"/>
      <c r="AF121" s="7"/>
      <c r="AG121" s="7"/>
      <c r="AH121" s="7"/>
    </row>
    <row r="122" spans="1:34" ht="15.75" customHeight="1">
      <c r="A122" s="7"/>
      <c r="B122" s="7"/>
      <c r="C122" s="29"/>
      <c r="D122" s="30"/>
      <c r="E122" s="30"/>
      <c r="F122" s="30"/>
      <c r="G122" s="30"/>
      <c r="H122" s="30"/>
      <c r="I122" s="30"/>
      <c r="J122" s="30"/>
      <c r="K122" s="7"/>
      <c r="L122" s="7"/>
      <c r="M122" s="7"/>
      <c r="N122" s="7"/>
      <c r="O122" s="7"/>
      <c r="P122" s="7"/>
      <c r="Q122" s="7"/>
      <c r="R122" s="7"/>
      <c r="S122" s="7"/>
      <c r="T122" s="7"/>
      <c r="U122" s="7"/>
      <c r="V122" s="7"/>
      <c r="W122" s="7"/>
      <c r="X122" s="7"/>
      <c r="Y122" s="7"/>
      <c r="Z122" s="7"/>
      <c r="AA122" s="7"/>
      <c r="AB122" s="7"/>
      <c r="AC122" s="7"/>
      <c r="AD122" s="7"/>
      <c r="AE122" s="7"/>
      <c r="AF122" s="7"/>
      <c r="AG122" s="7"/>
      <c r="AH122" s="7"/>
    </row>
    <row r="123" spans="1:34" ht="15.75" customHeight="1">
      <c r="A123" s="7"/>
      <c r="B123" s="7"/>
      <c r="C123" s="29"/>
      <c r="D123" s="30"/>
      <c r="E123" s="30"/>
      <c r="F123" s="30"/>
      <c r="G123" s="30"/>
      <c r="H123" s="30"/>
      <c r="I123" s="30"/>
      <c r="J123" s="30"/>
      <c r="K123" s="7"/>
      <c r="L123" s="7"/>
      <c r="M123" s="7"/>
      <c r="N123" s="7"/>
      <c r="O123" s="7"/>
      <c r="P123" s="7"/>
      <c r="Q123" s="7"/>
      <c r="R123" s="7"/>
      <c r="S123" s="7"/>
      <c r="T123" s="7"/>
      <c r="U123" s="7"/>
      <c r="V123" s="7"/>
      <c r="W123" s="7"/>
      <c r="X123" s="7"/>
      <c r="Y123" s="7"/>
      <c r="Z123" s="7"/>
      <c r="AA123" s="7"/>
      <c r="AB123" s="7"/>
      <c r="AC123" s="7"/>
      <c r="AD123" s="7"/>
      <c r="AE123" s="7"/>
      <c r="AF123" s="7"/>
      <c r="AG123" s="7"/>
      <c r="AH123" s="7"/>
    </row>
    <row r="124" spans="1:34" ht="15.75" customHeight="1">
      <c r="A124" s="7"/>
      <c r="B124" s="7"/>
      <c r="C124" s="29"/>
      <c r="D124" s="30"/>
      <c r="E124" s="30"/>
      <c r="F124" s="30"/>
      <c r="G124" s="30"/>
      <c r="H124" s="30"/>
      <c r="I124" s="30"/>
      <c r="J124" s="30"/>
      <c r="K124" s="7"/>
      <c r="L124" s="7"/>
      <c r="M124" s="7"/>
      <c r="N124" s="7"/>
      <c r="O124" s="7"/>
      <c r="P124" s="7"/>
      <c r="Q124" s="7"/>
      <c r="R124" s="7"/>
      <c r="S124" s="7"/>
      <c r="T124" s="7"/>
      <c r="U124" s="7"/>
      <c r="V124" s="7"/>
      <c r="W124" s="7"/>
      <c r="X124" s="7"/>
      <c r="Y124" s="7"/>
      <c r="Z124" s="7"/>
      <c r="AA124" s="7"/>
      <c r="AB124" s="7"/>
      <c r="AC124" s="7"/>
      <c r="AD124" s="7"/>
      <c r="AE124" s="7"/>
      <c r="AF124" s="7"/>
      <c r="AG124" s="7"/>
      <c r="AH124" s="7"/>
    </row>
    <row r="125" spans="1:34" ht="15.75" customHeight="1">
      <c r="A125" s="7"/>
      <c r="B125" s="7"/>
      <c r="C125" s="29"/>
      <c r="D125" s="30"/>
      <c r="E125" s="30"/>
      <c r="F125" s="30"/>
      <c r="G125" s="30"/>
      <c r="H125" s="30"/>
      <c r="I125" s="30"/>
      <c r="J125" s="30"/>
      <c r="K125" s="7"/>
      <c r="L125" s="7"/>
      <c r="M125" s="7"/>
      <c r="N125" s="7"/>
      <c r="O125" s="7"/>
      <c r="P125" s="7"/>
      <c r="Q125" s="7"/>
      <c r="R125" s="7"/>
      <c r="S125" s="7"/>
      <c r="T125" s="7"/>
      <c r="U125" s="7"/>
      <c r="V125" s="7"/>
      <c r="W125" s="7"/>
      <c r="X125" s="7"/>
      <c r="Y125" s="7"/>
      <c r="Z125" s="7"/>
      <c r="AA125" s="7"/>
      <c r="AB125" s="7"/>
      <c r="AC125" s="7"/>
      <c r="AD125" s="7"/>
      <c r="AE125" s="7"/>
      <c r="AF125" s="7"/>
      <c r="AG125" s="7"/>
      <c r="AH125" s="7"/>
    </row>
    <row r="126" spans="1:34" ht="15.75" customHeight="1">
      <c r="A126" s="7"/>
      <c r="B126" s="7"/>
      <c r="C126" s="29"/>
      <c r="D126" s="30"/>
      <c r="E126" s="30"/>
      <c r="F126" s="30"/>
      <c r="G126" s="30"/>
      <c r="H126" s="30"/>
      <c r="I126" s="30"/>
      <c r="J126" s="30"/>
      <c r="K126" s="7"/>
      <c r="L126" s="7"/>
      <c r="M126" s="7"/>
      <c r="N126" s="7"/>
      <c r="O126" s="7"/>
      <c r="P126" s="7"/>
      <c r="Q126" s="7"/>
      <c r="R126" s="7"/>
      <c r="S126" s="7"/>
      <c r="T126" s="7"/>
      <c r="U126" s="7"/>
      <c r="V126" s="7"/>
      <c r="W126" s="7"/>
      <c r="X126" s="7"/>
      <c r="Y126" s="7"/>
      <c r="Z126" s="7"/>
      <c r="AA126" s="7"/>
      <c r="AB126" s="7"/>
      <c r="AC126" s="7"/>
      <c r="AD126" s="7"/>
      <c r="AE126" s="7"/>
      <c r="AF126" s="7"/>
      <c r="AG126" s="7"/>
      <c r="AH126" s="7"/>
    </row>
    <row r="127" spans="1:34" ht="15.75" customHeight="1">
      <c r="A127" s="7"/>
      <c r="B127" s="7"/>
      <c r="C127" s="29"/>
      <c r="D127" s="30"/>
      <c r="E127" s="30"/>
      <c r="F127" s="30"/>
      <c r="G127" s="30"/>
      <c r="H127" s="30"/>
      <c r="I127" s="30"/>
      <c r="J127" s="30"/>
      <c r="K127" s="7"/>
      <c r="L127" s="7"/>
      <c r="M127" s="7"/>
      <c r="N127" s="7"/>
      <c r="O127" s="7"/>
      <c r="P127" s="7"/>
      <c r="Q127" s="7"/>
      <c r="R127" s="7"/>
      <c r="S127" s="7"/>
      <c r="T127" s="7"/>
      <c r="U127" s="7"/>
      <c r="V127" s="7"/>
      <c r="W127" s="7"/>
      <c r="X127" s="7"/>
      <c r="Y127" s="7"/>
      <c r="Z127" s="7"/>
      <c r="AA127" s="7"/>
      <c r="AB127" s="7"/>
      <c r="AC127" s="7"/>
      <c r="AD127" s="7"/>
      <c r="AE127" s="7"/>
      <c r="AF127" s="7"/>
      <c r="AG127" s="7"/>
      <c r="AH127" s="7"/>
    </row>
    <row r="128" spans="1:34" ht="15.75" customHeight="1">
      <c r="A128" s="7"/>
      <c r="B128" s="7"/>
      <c r="C128" s="29"/>
      <c r="D128" s="30"/>
      <c r="E128" s="30"/>
      <c r="F128" s="30"/>
      <c r="G128" s="30"/>
      <c r="H128" s="30"/>
      <c r="I128" s="30"/>
      <c r="J128" s="30"/>
      <c r="K128" s="7"/>
      <c r="L128" s="7"/>
      <c r="M128" s="7"/>
      <c r="N128" s="7"/>
      <c r="O128" s="7"/>
      <c r="P128" s="7"/>
      <c r="Q128" s="7"/>
      <c r="R128" s="7"/>
      <c r="S128" s="7"/>
      <c r="T128" s="7"/>
      <c r="U128" s="7"/>
      <c r="V128" s="7"/>
      <c r="W128" s="7"/>
      <c r="X128" s="7"/>
      <c r="Y128" s="7"/>
      <c r="Z128" s="7"/>
      <c r="AA128" s="7"/>
      <c r="AB128" s="7"/>
      <c r="AC128" s="7"/>
      <c r="AD128" s="7"/>
      <c r="AE128" s="7"/>
      <c r="AF128" s="7"/>
      <c r="AG128" s="7"/>
      <c r="AH128" s="7"/>
    </row>
    <row r="129" spans="1:34" ht="15.75" customHeight="1">
      <c r="A129" s="7"/>
      <c r="B129" s="7"/>
      <c r="C129" s="29"/>
      <c r="D129" s="30"/>
      <c r="E129" s="30"/>
      <c r="F129" s="30"/>
      <c r="G129" s="30"/>
      <c r="H129" s="30"/>
      <c r="I129" s="30"/>
      <c r="J129" s="30"/>
      <c r="K129" s="7"/>
      <c r="L129" s="7"/>
      <c r="M129" s="7"/>
      <c r="N129" s="7"/>
      <c r="O129" s="7"/>
      <c r="P129" s="7"/>
      <c r="Q129" s="7"/>
      <c r="R129" s="7"/>
      <c r="S129" s="7"/>
      <c r="T129" s="7"/>
      <c r="U129" s="7"/>
      <c r="V129" s="7"/>
      <c r="W129" s="7"/>
      <c r="X129" s="7"/>
      <c r="Y129" s="7"/>
      <c r="Z129" s="7"/>
      <c r="AA129" s="7"/>
      <c r="AB129" s="7"/>
      <c r="AC129" s="7"/>
      <c r="AD129" s="7"/>
      <c r="AE129" s="7"/>
      <c r="AF129" s="7"/>
      <c r="AG129" s="7"/>
      <c r="AH129" s="7"/>
    </row>
    <row r="130" spans="1:34" ht="15.75" customHeight="1">
      <c r="A130" s="7"/>
      <c r="B130" s="7"/>
      <c r="C130" s="29"/>
      <c r="D130" s="30"/>
      <c r="E130" s="30"/>
      <c r="F130" s="30"/>
      <c r="G130" s="30"/>
      <c r="H130" s="30"/>
      <c r="I130" s="30"/>
      <c r="J130" s="30"/>
      <c r="K130" s="7"/>
      <c r="L130" s="7"/>
      <c r="M130" s="7"/>
      <c r="N130" s="7"/>
      <c r="O130" s="7"/>
      <c r="P130" s="7"/>
      <c r="Q130" s="7"/>
      <c r="R130" s="7"/>
      <c r="S130" s="7"/>
      <c r="T130" s="7"/>
      <c r="U130" s="7"/>
      <c r="V130" s="7"/>
      <c r="W130" s="7"/>
      <c r="X130" s="7"/>
      <c r="Y130" s="7"/>
      <c r="Z130" s="7"/>
      <c r="AA130" s="7"/>
      <c r="AB130" s="7"/>
      <c r="AC130" s="7"/>
      <c r="AD130" s="7"/>
      <c r="AE130" s="7"/>
      <c r="AF130" s="7"/>
      <c r="AG130" s="7"/>
      <c r="AH130" s="7"/>
    </row>
    <row r="131" spans="1:34" ht="15.75" customHeight="1">
      <c r="A131" s="7"/>
      <c r="B131" s="7"/>
      <c r="C131" s="29"/>
      <c r="D131" s="30"/>
      <c r="E131" s="30"/>
      <c r="F131" s="30"/>
      <c r="G131" s="30"/>
      <c r="H131" s="30"/>
      <c r="I131" s="30"/>
      <c r="J131" s="30"/>
      <c r="K131" s="7"/>
      <c r="L131" s="7"/>
      <c r="M131" s="7"/>
      <c r="N131" s="7"/>
      <c r="O131" s="7"/>
      <c r="P131" s="7"/>
      <c r="Q131" s="7"/>
      <c r="R131" s="7"/>
      <c r="S131" s="7"/>
      <c r="T131" s="7"/>
      <c r="U131" s="7"/>
      <c r="V131" s="7"/>
      <c r="W131" s="7"/>
      <c r="X131" s="7"/>
      <c r="Y131" s="7"/>
      <c r="Z131" s="7"/>
      <c r="AA131" s="7"/>
      <c r="AB131" s="7"/>
      <c r="AC131" s="7"/>
      <c r="AD131" s="7"/>
      <c r="AE131" s="7"/>
      <c r="AF131" s="7"/>
      <c r="AG131" s="7"/>
      <c r="AH131" s="7"/>
    </row>
    <row r="132" spans="1:34" ht="15.75" customHeight="1">
      <c r="A132" s="7"/>
      <c r="B132" s="7"/>
      <c r="C132" s="29"/>
      <c r="D132" s="30"/>
      <c r="E132" s="30"/>
      <c r="F132" s="30"/>
      <c r="G132" s="30"/>
      <c r="H132" s="30"/>
      <c r="I132" s="30"/>
      <c r="J132" s="30"/>
      <c r="K132" s="7"/>
      <c r="L132" s="7"/>
      <c r="M132" s="7"/>
      <c r="N132" s="7"/>
      <c r="O132" s="7"/>
      <c r="P132" s="7"/>
      <c r="Q132" s="7"/>
      <c r="R132" s="7"/>
      <c r="S132" s="7"/>
      <c r="T132" s="7"/>
      <c r="U132" s="7"/>
      <c r="V132" s="7"/>
      <c r="W132" s="7"/>
      <c r="X132" s="7"/>
      <c r="Y132" s="7"/>
      <c r="Z132" s="7"/>
      <c r="AA132" s="7"/>
      <c r="AB132" s="7"/>
      <c r="AC132" s="7"/>
      <c r="AD132" s="7"/>
      <c r="AE132" s="7"/>
      <c r="AF132" s="7"/>
      <c r="AG132" s="7"/>
      <c r="AH132" s="7"/>
    </row>
    <row r="133" spans="1:34" ht="15.75" customHeight="1">
      <c r="A133" s="7"/>
      <c r="B133" s="7"/>
      <c r="C133" s="29"/>
      <c r="D133" s="30"/>
      <c r="E133" s="30"/>
      <c r="F133" s="30"/>
      <c r="G133" s="30"/>
      <c r="H133" s="30"/>
      <c r="I133" s="30"/>
      <c r="J133" s="30"/>
      <c r="K133" s="7"/>
      <c r="L133" s="7"/>
      <c r="M133" s="7"/>
      <c r="N133" s="7"/>
      <c r="O133" s="7"/>
      <c r="P133" s="7"/>
      <c r="Q133" s="7"/>
      <c r="R133" s="7"/>
      <c r="S133" s="7"/>
      <c r="T133" s="7"/>
      <c r="U133" s="7"/>
      <c r="V133" s="7"/>
      <c r="W133" s="7"/>
      <c r="X133" s="7"/>
      <c r="Y133" s="7"/>
      <c r="Z133" s="7"/>
      <c r="AA133" s="7"/>
      <c r="AB133" s="7"/>
      <c r="AC133" s="7"/>
      <c r="AD133" s="7"/>
      <c r="AE133" s="7"/>
      <c r="AF133" s="7"/>
      <c r="AG133" s="7"/>
      <c r="AH133" s="7"/>
    </row>
    <row r="134" spans="1:34" ht="15.75" customHeight="1">
      <c r="A134" s="7"/>
      <c r="B134" s="7"/>
      <c r="C134" s="29"/>
      <c r="D134" s="30"/>
      <c r="E134" s="30"/>
      <c r="F134" s="30"/>
      <c r="G134" s="30"/>
      <c r="H134" s="30"/>
      <c r="I134" s="30"/>
      <c r="J134" s="30"/>
      <c r="K134" s="7"/>
      <c r="L134" s="7"/>
      <c r="M134" s="7"/>
      <c r="N134" s="7"/>
      <c r="O134" s="7"/>
      <c r="P134" s="7"/>
      <c r="Q134" s="7"/>
      <c r="R134" s="7"/>
      <c r="S134" s="7"/>
      <c r="T134" s="7"/>
      <c r="U134" s="7"/>
      <c r="V134" s="7"/>
      <c r="W134" s="7"/>
      <c r="X134" s="7"/>
      <c r="Y134" s="7"/>
      <c r="Z134" s="7"/>
      <c r="AA134" s="7"/>
      <c r="AB134" s="7"/>
      <c r="AC134" s="7"/>
      <c r="AD134" s="7"/>
      <c r="AE134" s="7"/>
      <c r="AF134" s="7"/>
      <c r="AG134" s="7"/>
      <c r="AH134" s="7"/>
    </row>
    <row r="135" spans="1:34" ht="15.75" customHeight="1">
      <c r="A135" s="7"/>
      <c r="B135" s="7"/>
      <c r="C135" s="29"/>
      <c r="D135" s="30"/>
      <c r="E135" s="30"/>
      <c r="F135" s="30"/>
      <c r="G135" s="30"/>
      <c r="H135" s="30"/>
      <c r="I135" s="30"/>
      <c r="J135" s="30"/>
      <c r="K135" s="7"/>
      <c r="L135" s="7"/>
      <c r="M135" s="7"/>
      <c r="N135" s="7"/>
      <c r="O135" s="7"/>
      <c r="P135" s="7"/>
      <c r="Q135" s="7"/>
      <c r="R135" s="7"/>
      <c r="S135" s="7"/>
      <c r="T135" s="7"/>
      <c r="U135" s="7"/>
      <c r="V135" s="7"/>
      <c r="W135" s="7"/>
      <c r="X135" s="7"/>
      <c r="Y135" s="7"/>
      <c r="Z135" s="7"/>
      <c r="AA135" s="7"/>
      <c r="AB135" s="7"/>
      <c r="AC135" s="7"/>
      <c r="AD135" s="7"/>
      <c r="AE135" s="7"/>
      <c r="AF135" s="7"/>
      <c r="AG135" s="7"/>
      <c r="AH135" s="7"/>
    </row>
    <row r="136" spans="1:34" ht="15.75" customHeight="1">
      <c r="A136" s="7"/>
      <c r="B136" s="7"/>
      <c r="C136" s="29"/>
      <c r="D136" s="30"/>
      <c r="E136" s="30"/>
      <c r="F136" s="30"/>
      <c r="G136" s="30"/>
      <c r="H136" s="30"/>
      <c r="I136" s="30"/>
      <c r="J136" s="30"/>
      <c r="K136" s="7"/>
      <c r="L136" s="7"/>
      <c r="M136" s="7"/>
      <c r="N136" s="7"/>
      <c r="O136" s="7"/>
      <c r="P136" s="7"/>
      <c r="Q136" s="7"/>
      <c r="R136" s="7"/>
      <c r="S136" s="7"/>
      <c r="T136" s="7"/>
      <c r="U136" s="7"/>
      <c r="V136" s="7"/>
      <c r="W136" s="7"/>
      <c r="X136" s="7"/>
      <c r="Y136" s="7"/>
      <c r="Z136" s="7"/>
      <c r="AA136" s="7"/>
      <c r="AB136" s="7"/>
      <c r="AC136" s="7"/>
      <c r="AD136" s="7"/>
      <c r="AE136" s="7"/>
      <c r="AF136" s="7"/>
      <c r="AG136" s="7"/>
      <c r="AH136" s="7"/>
    </row>
    <row r="137" spans="1:34" ht="15.75" customHeight="1">
      <c r="A137" s="7"/>
      <c r="B137" s="7"/>
      <c r="C137" s="29"/>
      <c r="D137" s="30"/>
      <c r="E137" s="30"/>
      <c r="F137" s="30"/>
      <c r="G137" s="30"/>
      <c r="H137" s="30"/>
      <c r="I137" s="30"/>
      <c r="J137" s="30"/>
      <c r="K137" s="7"/>
      <c r="L137" s="7"/>
      <c r="M137" s="7"/>
      <c r="N137" s="7"/>
      <c r="O137" s="7"/>
      <c r="P137" s="7"/>
      <c r="Q137" s="7"/>
      <c r="R137" s="7"/>
      <c r="S137" s="7"/>
      <c r="T137" s="7"/>
      <c r="U137" s="7"/>
      <c r="V137" s="7"/>
      <c r="W137" s="7"/>
      <c r="X137" s="7"/>
      <c r="Y137" s="7"/>
      <c r="Z137" s="7"/>
      <c r="AA137" s="7"/>
      <c r="AB137" s="7"/>
      <c r="AC137" s="7"/>
      <c r="AD137" s="7"/>
      <c r="AE137" s="7"/>
      <c r="AF137" s="7"/>
      <c r="AG137" s="7"/>
      <c r="AH137" s="7"/>
    </row>
    <row r="138" spans="1:34" ht="15.75" customHeight="1">
      <c r="A138" s="7"/>
      <c r="B138" s="7"/>
      <c r="C138" s="29"/>
      <c r="D138" s="30"/>
      <c r="E138" s="30"/>
      <c r="F138" s="30"/>
      <c r="G138" s="30"/>
      <c r="H138" s="30"/>
      <c r="I138" s="30"/>
      <c r="J138" s="30"/>
      <c r="K138" s="7"/>
      <c r="L138" s="7"/>
      <c r="M138" s="7"/>
      <c r="N138" s="7"/>
      <c r="O138" s="7"/>
      <c r="P138" s="7"/>
      <c r="Q138" s="7"/>
      <c r="R138" s="7"/>
      <c r="S138" s="7"/>
      <c r="T138" s="7"/>
      <c r="U138" s="7"/>
      <c r="V138" s="7"/>
      <c r="W138" s="7"/>
      <c r="X138" s="7"/>
      <c r="Y138" s="7"/>
      <c r="Z138" s="7"/>
      <c r="AA138" s="7"/>
      <c r="AB138" s="7"/>
      <c r="AC138" s="7"/>
      <c r="AD138" s="7"/>
      <c r="AE138" s="7"/>
      <c r="AF138" s="7"/>
      <c r="AG138" s="7"/>
      <c r="AH138" s="7"/>
    </row>
    <row r="139" spans="1:34" ht="15.75" customHeight="1">
      <c r="A139" s="7"/>
      <c r="B139" s="7"/>
      <c r="C139" s="29"/>
      <c r="D139" s="30"/>
      <c r="E139" s="30"/>
      <c r="F139" s="30"/>
      <c r="G139" s="30"/>
      <c r="H139" s="30"/>
      <c r="I139" s="30"/>
      <c r="J139" s="30"/>
      <c r="K139" s="7"/>
      <c r="L139" s="7"/>
      <c r="M139" s="7"/>
      <c r="N139" s="7"/>
      <c r="O139" s="7"/>
      <c r="P139" s="7"/>
      <c r="Q139" s="7"/>
      <c r="R139" s="7"/>
      <c r="S139" s="7"/>
      <c r="T139" s="7"/>
      <c r="U139" s="7"/>
      <c r="V139" s="7"/>
      <c r="W139" s="7"/>
      <c r="X139" s="7"/>
      <c r="Y139" s="7"/>
      <c r="Z139" s="7"/>
      <c r="AA139" s="7"/>
      <c r="AB139" s="7"/>
      <c r="AC139" s="7"/>
      <c r="AD139" s="7"/>
      <c r="AE139" s="7"/>
      <c r="AF139" s="7"/>
      <c r="AG139" s="7"/>
      <c r="AH139" s="7"/>
    </row>
    <row r="140" spans="1:34" ht="15.75" customHeight="1">
      <c r="A140" s="7"/>
      <c r="B140" s="7"/>
      <c r="C140" s="29"/>
      <c r="D140" s="30"/>
      <c r="E140" s="30"/>
      <c r="F140" s="30"/>
      <c r="G140" s="30"/>
      <c r="H140" s="30"/>
      <c r="I140" s="30"/>
      <c r="J140" s="30"/>
      <c r="K140" s="7"/>
      <c r="L140" s="7"/>
      <c r="M140" s="7"/>
      <c r="N140" s="7"/>
      <c r="O140" s="7"/>
      <c r="P140" s="7"/>
      <c r="Q140" s="7"/>
      <c r="R140" s="7"/>
      <c r="S140" s="7"/>
      <c r="T140" s="7"/>
      <c r="U140" s="7"/>
      <c r="V140" s="7"/>
      <c r="W140" s="7"/>
      <c r="X140" s="7"/>
      <c r="Y140" s="7"/>
      <c r="Z140" s="7"/>
      <c r="AA140" s="7"/>
      <c r="AB140" s="7"/>
      <c r="AC140" s="7"/>
      <c r="AD140" s="7"/>
      <c r="AE140" s="7"/>
      <c r="AF140" s="7"/>
      <c r="AG140" s="7"/>
      <c r="AH140" s="7"/>
    </row>
    <row r="141" spans="1:34" ht="15.75" customHeight="1">
      <c r="A141" s="7"/>
      <c r="B141" s="7"/>
      <c r="C141" s="29"/>
      <c r="D141" s="30"/>
      <c r="E141" s="30"/>
      <c r="F141" s="30"/>
      <c r="G141" s="30"/>
      <c r="H141" s="30"/>
      <c r="I141" s="30"/>
      <c r="J141" s="30"/>
      <c r="K141" s="7"/>
      <c r="L141" s="7"/>
      <c r="M141" s="7"/>
      <c r="N141" s="7"/>
      <c r="O141" s="7"/>
      <c r="P141" s="7"/>
      <c r="Q141" s="7"/>
      <c r="R141" s="7"/>
      <c r="S141" s="7"/>
      <c r="T141" s="7"/>
      <c r="U141" s="7"/>
      <c r="V141" s="7"/>
      <c r="W141" s="7"/>
      <c r="X141" s="7"/>
      <c r="Y141" s="7"/>
      <c r="Z141" s="7"/>
      <c r="AA141" s="7"/>
      <c r="AB141" s="7"/>
      <c r="AC141" s="7"/>
      <c r="AD141" s="7"/>
      <c r="AE141" s="7"/>
      <c r="AF141" s="7"/>
      <c r="AG141" s="7"/>
      <c r="AH141" s="7"/>
    </row>
    <row r="142" spans="1:34" ht="15.75" customHeight="1">
      <c r="A142" s="7"/>
      <c r="B142" s="7"/>
      <c r="C142" s="29"/>
      <c r="D142" s="30"/>
      <c r="E142" s="30"/>
      <c r="F142" s="30"/>
      <c r="G142" s="30"/>
      <c r="H142" s="30"/>
      <c r="I142" s="30"/>
      <c r="J142" s="30"/>
      <c r="K142" s="7"/>
      <c r="L142" s="7"/>
      <c r="M142" s="7"/>
      <c r="N142" s="7"/>
      <c r="O142" s="7"/>
      <c r="P142" s="7"/>
      <c r="Q142" s="7"/>
      <c r="R142" s="7"/>
      <c r="S142" s="7"/>
      <c r="T142" s="7"/>
      <c r="U142" s="7"/>
      <c r="V142" s="7"/>
      <c r="W142" s="7"/>
      <c r="X142" s="7"/>
      <c r="Y142" s="7"/>
      <c r="Z142" s="7"/>
      <c r="AA142" s="7"/>
      <c r="AB142" s="7"/>
      <c r="AC142" s="7"/>
      <c r="AD142" s="7"/>
      <c r="AE142" s="7"/>
      <c r="AF142" s="7"/>
      <c r="AG142" s="7"/>
      <c r="AH142" s="7"/>
    </row>
    <row r="143" spans="1:34" ht="15.75" customHeight="1">
      <c r="A143" s="7"/>
      <c r="B143" s="7"/>
      <c r="C143" s="29"/>
      <c r="D143" s="30"/>
      <c r="E143" s="30"/>
      <c r="F143" s="30"/>
      <c r="G143" s="30"/>
      <c r="H143" s="30"/>
      <c r="I143" s="30"/>
      <c r="J143" s="30"/>
      <c r="K143" s="7"/>
      <c r="L143" s="7"/>
      <c r="M143" s="7"/>
      <c r="N143" s="7"/>
      <c r="O143" s="7"/>
      <c r="P143" s="7"/>
      <c r="Q143" s="7"/>
      <c r="R143" s="7"/>
      <c r="S143" s="7"/>
      <c r="T143" s="7"/>
      <c r="U143" s="7"/>
      <c r="V143" s="7"/>
      <c r="W143" s="7"/>
      <c r="X143" s="7"/>
      <c r="Y143" s="7"/>
      <c r="Z143" s="7"/>
      <c r="AA143" s="7"/>
      <c r="AB143" s="7"/>
      <c r="AC143" s="7"/>
      <c r="AD143" s="7"/>
      <c r="AE143" s="7"/>
      <c r="AF143" s="7"/>
      <c r="AG143" s="7"/>
      <c r="AH143" s="7"/>
    </row>
    <row r="144" spans="1:34" ht="15.75" customHeight="1">
      <c r="A144" s="7"/>
      <c r="B144" s="7"/>
      <c r="C144" s="29"/>
      <c r="D144" s="30"/>
      <c r="E144" s="30"/>
      <c r="F144" s="30"/>
      <c r="G144" s="30"/>
      <c r="H144" s="30"/>
      <c r="I144" s="30"/>
      <c r="J144" s="30"/>
      <c r="K144" s="7"/>
      <c r="L144" s="7"/>
      <c r="M144" s="7"/>
      <c r="N144" s="7"/>
      <c r="O144" s="7"/>
      <c r="P144" s="7"/>
      <c r="Q144" s="7"/>
      <c r="R144" s="7"/>
      <c r="S144" s="7"/>
      <c r="T144" s="7"/>
      <c r="U144" s="7"/>
      <c r="V144" s="7"/>
      <c r="W144" s="7"/>
      <c r="X144" s="7"/>
      <c r="Y144" s="7"/>
      <c r="Z144" s="7"/>
      <c r="AA144" s="7"/>
      <c r="AB144" s="7"/>
      <c r="AC144" s="7"/>
      <c r="AD144" s="7"/>
      <c r="AE144" s="7"/>
      <c r="AF144" s="7"/>
      <c r="AG144" s="7"/>
      <c r="AH144" s="7"/>
    </row>
    <row r="145" spans="1:34" ht="15.75" customHeight="1">
      <c r="A145" s="7"/>
      <c r="B145" s="7"/>
      <c r="C145" s="29"/>
      <c r="D145" s="30"/>
      <c r="E145" s="30"/>
      <c r="F145" s="30"/>
      <c r="G145" s="30"/>
      <c r="H145" s="30"/>
      <c r="I145" s="30"/>
      <c r="J145" s="30"/>
      <c r="K145" s="7"/>
      <c r="L145" s="7"/>
      <c r="M145" s="7"/>
      <c r="N145" s="7"/>
      <c r="O145" s="7"/>
      <c r="P145" s="7"/>
      <c r="Q145" s="7"/>
      <c r="R145" s="7"/>
      <c r="S145" s="7"/>
      <c r="T145" s="7"/>
      <c r="U145" s="7"/>
      <c r="V145" s="7"/>
      <c r="W145" s="7"/>
      <c r="X145" s="7"/>
      <c r="Y145" s="7"/>
      <c r="Z145" s="7"/>
      <c r="AA145" s="7"/>
      <c r="AB145" s="7"/>
      <c r="AC145" s="7"/>
      <c r="AD145" s="7"/>
      <c r="AE145" s="7"/>
      <c r="AF145" s="7"/>
      <c r="AG145" s="7"/>
      <c r="AH145" s="7"/>
    </row>
    <row r="146" spans="1:34" ht="15.75" customHeight="1">
      <c r="A146" s="7"/>
      <c r="B146" s="7"/>
      <c r="C146" s="29"/>
      <c r="D146" s="30"/>
      <c r="E146" s="30"/>
      <c r="F146" s="30"/>
      <c r="G146" s="30"/>
      <c r="H146" s="30"/>
      <c r="I146" s="30"/>
      <c r="J146" s="30"/>
      <c r="K146" s="7"/>
      <c r="L146" s="7"/>
      <c r="M146" s="7"/>
      <c r="N146" s="7"/>
      <c r="O146" s="7"/>
      <c r="P146" s="7"/>
      <c r="Q146" s="7"/>
      <c r="R146" s="7"/>
      <c r="S146" s="7"/>
      <c r="T146" s="7"/>
      <c r="U146" s="7"/>
      <c r="V146" s="7"/>
      <c r="W146" s="7"/>
      <c r="X146" s="7"/>
      <c r="Y146" s="7"/>
      <c r="Z146" s="7"/>
      <c r="AA146" s="7"/>
      <c r="AB146" s="7"/>
      <c r="AC146" s="7"/>
      <c r="AD146" s="7"/>
      <c r="AE146" s="7"/>
      <c r="AF146" s="7"/>
      <c r="AG146" s="7"/>
      <c r="AH146" s="7"/>
    </row>
    <row r="147" spans="1:34" ht="15.75" customHeight="1">
      <c r="A147" s="7"/>
      <c r="B147" s="7"/>
      <c r="C147" s="29"/>
      <c r="D147" s="30"/>
      <c r="E147" s="30"/>
      <c r="F147" s="30"/>
      <c r="G147" s="30"/>
      <c r="H147" s="30"/>
      <c r="I147" s="30"/>
      <c r="J147" s="30"/>
      <c r="K147" s="7"/>
      <c r="L147" s="7"/>
      <c r="M147" s="7"/>
      <c r="N147" s="7"/>
      <c r="O147" s="7"/>
      <c r="P147" s="7"/>
      <c r="Q147" s="7"/>
      <c r="R147" s="7"/>
      <c r="S147" s="7"/>
      <c r="T147" s="7"/>
      <c r="U147" s="7"/>
      <c r="V147" s="7"/>
      <c r="W147" s="7"/>
      <c r="X147" s="7"/>
      <c r="Y147" s="7"/>
      <c r="Z147" s="7"/>
      <c r="AA147" s="7"/>
      <c r="AB147" s="7"/>
      <c r="AC147" s="7"/>
      <c r="AD147" s="7"/>
      <c r="AE147" s="7"/>
      <c r="AF147" s="7"/>
      <c r="AG147" s="7"/>
      <c r="AH147" s="7"/>
    </row>
    <row r="148" spans="1:34" ht="15.75" customHeight="1">
      <c r="A148" s="7"/>
      <c r="B148" s="7"/>
      <c r="C148" s="29"/>
      <c r="D148" s="30"/>
      <c r="E148" s="30"/>
      <c r="F148" s="30"/>
      <c r="G148" s="30"/>
      <c r="H148" s="30"/>
      <c r="I148" s="30"/>
      <c r="J148" s="30"/>
      <c r="K148" s="7"/>
      <c r="L148" s="7"/>
      <c r="M148" s="7"/>
      <c r="N148" s="7"/>
      <c r="O148" s="7"/>
      <c r="P148" s="7"/>
      <c r="Q148" s="7"/>
      <c r="R148" s="7"/>
      <c r="S148" s="7"/>
      <c r="T148" s="7"/>
      <c r="U148" s="7"/>
      <c r="V148" s="7"/>
      <c r="W148" s="7"/>
      <c r="X148" s="7"/>
      <c r="Y148" s="7"/>
      <c r="Z148" s="7"/>
      <c r="AA148" s="7"/>
      <c r="AB148" s="7"/>
      <c r="AC148" s="7"/>
      <c r="AD148" s="7"/>
      <c r="AE148" s="7"/>
      <c r="AF148" s="7"/>
      <c r="AG148" s="7"/>
      <c r="AH148" s="7"/>
    </row>
    <row r="149" spans="1:34" ht="15.75" customHeight="1">
      <c r="A149" s="7"/>
      <c r="B149" s="7"/>
      <c r="C149" s="29"/>
      <c r="D149" s="30"/>
      <c r="E149" s="30"/>
      <c r="F149" s="30"/>
      <c r="G149" s="30"/>
      <c r="H149" s="30"/>
      <c r="I149" s="30"/>
      <c r="J149" s="30"/>
      <c r="K149" s="7"/>
      <c r="L149" s="7"/>
      <c r="M149" s="7"/>
      <c r="N149" s="7"/>
      <c r="O149" s="7"/>
      <c r="P149" s="7"/>
      <c r="Q149" s="7"/>
      <c r="R149" s="7"/>
      <c r="S149" s="7"/>
      <c r="T149" s="7"/>
      <c r="U149" s="7"/>
      <c r="V149" s="7"/>
      <c r="W149" s="7"/>
      <c r="X149" s="7"/>
      <c r="Y149" s="7"/>
      <c r="Z149" s="7"/>
      <c r="AA149" s="7"/>
      <c r="AB149" s="7"/>
      <c r="AC149" s="7"/>
      <c r="AD149" s="7"/>
      <c r="AE149" s="7"/>
      <c r="AF149" s="7"/>
      <c r="AG149" s="7"/>
      <c r="AH149" s="7"/>
    </row>
    <row r="150" spans="1:34" ht="15.75" customHeight="1">
      <c r="A150" s="7"/>
      <c r="B150" s="7"/>
      <c r="C150" s="29"/>
      <c r="D150" s="30"/>
      <c r="E150" s="30"/>
      <c r="F150" s="30"/>
      <c r="G150" s="30"/>
      <c r="H150" s="30"/>
      <c r="I150" s="30"/>
      <c r="J150" s="30"/>
      <c r="K150" s="7"/>
      <c r="L150" s="7"/>
      <c r="M150" s="7"/>
      <c r="N150" s="7"/>
      <c r="O150" s="7"/>
      <c r="P150" s="7"/>
      <c r="Q150" s="7"/>
      <c r="R150" s="7"/>
      <c r="S150" s="7"/>
      <c r="T150" s="7"/>
      <c r="U150" s="7"/>
      <c r="V150" s="7"/>
      <c r="W150" s="7"/>
      <c r="X150" s="7"/>
      <c r="Y150" s="7"/>
      <c r="Z150" s="7"/>
      <c r="AA150" s="7"/>
      <c r="AB150" s="7"/>
      <c r="AC150" s="7"/>
      <c r="AD150" s="7"/>
      <c r="AE150" s="7"/>
      <c r="AF150" s="7"/>
      <c r="AG150" s="7"/>
      <c r="AH150" s="7"/>
    </row>
    <row r="151" spans="1:34" ht="15.75" customHeight="1">
      <c r="A151" s="7"/>
      <c r="B151" s="7"/>
      <c r="C151" s="29"/>
      <c r="D151" s="30"/>
      <c r="E151" s="30"/>
      <c r="F151" s="30"/>
      <c r="G151" s="30"/>
      <c r="H151" s="30"/>
      <c r="I151" s="30"/>
      <c r="J151" s="30"/>
      <c r="K151" s="7"/>
      <c r="L151" s="7"/>
      <c r="M151" s="7"/>
      <c r="N151" s="7"/>
      <c r="O151" s="7"/>
      <c r="P151" s="7"/>
      <c r="Q151" s="7"/>
      <c r="R151" s="7"/>
      <c r="S151" s="7"/>
      <c r="T151" s="7"/>
      <c r="U151" s="7"/>
      <c r="V151" s="7"/>
      <c r="W151" s="7"/>
      <c r="X151" s="7"/>
      <c r="Y151" s="7"/>
      <c r="Z151" s="7"/>
      <c r="AA151" s="7"/>
      <c r="AB151" s="7"/>
      <c r="AC151" s="7"/>
      <c r="AD151" s="7"/>
      <c r="AE151" s="7"/>
      <c r="AF151" s="7"/>
      <c r="AG151" s="7"/>
      <c r="AH151" s="7"/>
    </row>
    <row r="152" spans="1:34" ht="15.75" customHeight="1">
      <c r="A152" s="7"/>
      <c r="B152" s="7"/>
      <c r="C152" s="29"/>
      <c r="D152" s="30"/>
      <c r="E152" s="30"/>
      <c r="F152" s="30"/>
      <c r="G152" s="30"/>
      <c r="H152" s="30"/>
      <c r="I152" s="30"/>
      <c r="J152" s="30"/>
      <c r="K152" s="7"/>
      <c r="L152" s="7"/>
      <c r="M152" s="7"/>
      <c r="N152" s="7"/>
      <c r="O152" s="7"/>
      <c r="P152" s="7"/>
      <c r="Q152" s="7"/>
      <c r="R152" s="7"/>
      <c r="S152" s="7"/>
      <c r="T152" s="7"/>
      <c r="U152" s="7"/>
      <c r="V152" s="7"/>
      <c r="W152" s="7"/>
      <c r="X152" s="7"/>
      <c r="Y152" s="7"/>
      <c r="Z152" s="7"/>
      <c r="AA152" s="7"/>
      <c r="AB152" s="7"/>
      <c r="AC152" s="7"/>
      <c r="AD152" s="7"/>
      <c r="AE152" s="7"/>
      <c r="AF152" s="7"/>
      <c r="AG152" s="7"/>
      <c r="AH152" s="7"/>
    </row>
    <row r="153" spans="1:34" ht="15.75" customHeight="1">
      <c r="A153" s="7"/>
      <c r="B153" s="7"/>
      <c r="C153" s="29"/>
      <c r="D153" s="30"/>
      <c r="E153" s="30"/>
      <c r="F153" s="30"/>
      <c r="G153" s="30"/>
      <c r="H153" s="30"/>
      <c r="I153" s="30"/>
      <c r="J153" s="30"/>
      <c r="K153" s="7"/>
      <c r="L153" s="7"/>
      <c r="M153" s="7"/>
      <c r="N153" s="7"/>
      <c r="O153" s="7"/>
      <c r="P153" s="7"/>
      <c r="Q153" s="7"/>
      <c r="R153" s="7"/>
      <c r="S153" s="7"/>
      <c r="T153" s="7"/>
      <c r="U153" s="7"/>
      <c r="V153" s="7"/>
      <c r="W153" s="7"/>
      <c r="X153" s="7"/>
      <c r="Y153" s="7"/>
      <c r="Z153" s="7"/>
      <c r="AA153" s="7"/>
      <c r="AB153" s="7"/>
      <c r="AC153" s="7"/>
      <c r="AD153" s="7"/>
      <c r="AE153" s="7"/>
      <c r="AF153" s="7"/>
      <c r="AG153" s="7"/>
      <c r="AH153" s="7"/>
    </row>
    <row r="154" spans="1:34" ht="15.75" customHeight="1">
      <c r="A154" s="7"/>
      <c r="B154" s="7"/>
      <c r="C154" s="29"/>
      <c r="D154" s="30"/>
      <c r="E154" s="30"/>
      <c r="F154" s="30"/>
      <c r="G154" s="30"/>
      <c r="H154" s="30"/>
      <c r="I154" s="30"/>
      <c r="J154" s="30"/>
      <c r="K154" s="7"/>
      <c r="L154" s="7"/>
      <c r="M154" s="7"/>
      <c r="N154" s="7"/>
      <c r="O154" s="7"/>
      <c r="P154" s="7"/>
      <c r="Q154" s="7"/>
      <c r="R154" s="7"/>
      <c r="S154" s="7"/>
      <c r="T154" s="7"/>
      <c r="U154" s="7"/>
      <c r="V154" s="7"/>
      <c r="W154" s="7"/>
      <c r="X154" s="7"/>
      <c r="Y154" s="7"/>
      <c r="Z154" s="7"/>
      <c r="AA154" s="7"/>
      <c r="AB154" s="7"/>
      <c r="AC154" s="7"/>
      <c r="AD154" s="7"/>
      <c r="AE154" s="7"/>
      <c r="AF154" s="7"/>
      <c r="AG154" s="7"/>
      <c r="AH154" s="7"/>
    </row>
    <row r="155" spans="1:34" ht="15.75" customHeight="1">
      <c r="A155" s="7"/>
      <c r="B155" s="7"/>
      <c r="C155" s="29"/>
      <c r="D155" s="30"/>
      <c r="E155" s="30"/>
      <c r="F155" s="30"/>
      <c r="G155" s="30"/>
      <c r="H155" s="30"/>
      <c r="I155" s="30"/>
      <c r="J155" s="30"/>
      <c r="K155" s="7"/>
      <c r="L155" s="7"/>
      <c r="M155" s="7"/>
      <c r="N155" s="7"/>
      <c r="O155" s="7"/>
      <c r="P155" s="7"/>
      <c r="Q155" s="7"/>
      <c r="R155" s="7"/>
      <c r="S155" s="7"/>
      <c r="T155" s="7"/>
      <c r="U155" s="7"/>
      <c r="V155" s="7"/>
      <c r="W155" s="7"/>
      <c r="X155" s="7"/>
      <c r="Y155" s="7"/>
      <c r="Z155" s="7"/>
      <c r="AA155" s="7"/>
      <c r="AB155" s="7"/>
      <c r="AC155" s="7"/>
      <c r="AD155" s="7"/>
      <c r="AE155" s="7"/>
      <c r="AF155" s="7"/>
      <c r="AG155" s="7"/>
      <c r="AH155" s="7"/>
    </row>
    <row r="156" spans="1:34" ht="15.75" customHeight="1">
      <c r="A156" s="7"/>
      <c r="B156" s="7"/>
      <c r="C156" s="29"/>
      <c r="D156" s="30"/>
      <c r="E156" s="30"/>
      <c r="F156" s="30"/>
      <c r="G156" s="30"/>
      <c r="H156" s="30"/>
      <c r="I156" s="30"/>
      <c r="J156" s="30"/>
      <c r="K156" s="7"/>
      <c r="L156" s="7"/>
      <c r="M156" s="7"/>
      <c r="N156" s="7"/>
      <c r="O156" s="7"/>
      <c r="P156" s="7"/>
      <c r="Q156" s="7"/>
      <c r="R156" s="7"/>
      <c r="S156" s="7"/>
      <c r="T156" s="7"/>
      <c r="U156" s="7"/>
      <c r="V156" s="7"/>
      <c r="W156" s="7"/>
      <c r="X156" s="7"/>
      <c r="Y156" s="7"/>
      <c r="Z156" s="7"/>
      <c r="AA156" s="7"/>
      <c r="AB156" s="7"/>
      <c r="AC156" s="7"/>
      <c r="AD156" s="7"/>
      <c r="AE156" s="7"/>
      <c r="AF156" s="7"/>
      <c r="AG156" s="7"/>
      <c r="AH156" s="7"/>
    </row>
    <row r="157" spans="1:34" ht="15.75" customHeight="1">
      <c r="A157" s="7"/>
      <c r="B157" s="7"/>
      <c r="C157" s="29"/>
      <c r="D157" s="30"/>
      <c r="E157" s="30"/>
      <c r="F157" s="30"/>
      <c r="G157" s="30"/>
      <c r="H157" s="30"/>
      <c r="I157" s="30"/>
      <c r="J157" s="30"/>
      <c r="K157" s="7"/>
      <c r="L157" s="7"/>
      <c r="M157" s="7"/>
      <c r="N157" s="7"/>
      <c r="O157" s="7"/>
      <c r="P157" s="7"/>
      <c r="Q157" s="7"/>
      <c r="R157" s="7"/>
      <c r="S157" s="7"/>
      <c r="T157" s="7"/>
      <c r="U157" s="7"/>
      <c r="V157" s="7"/>
      <c r="W157" s="7"/>
      <c r="X157" s="7"/>
      <c r="Y157" s="7"/>
      <c r="Z157" s="7"/>
      <c r="AA157" s="7"/>
      <c r="AB157" s="7"/>
      <c r="AC157" s="7"/>
      <c r="AD157" s="7"/>
      <c r="AE157" s="7"/>
      <c r="AF157" s="7"/>
      <c r="AG157" s="7"/>
      <c r="AH157" s="7"/>
    </row>
    <row r="158" spans="1:34" ht="15.75" customHeight="1">
      <c r="A158" s="7"/>
      <c r="B158" s="7"/>
      <c r="C158" s="29"/>
      <c r="D158" s="30"/>
      <c r="E158" s="30"/>
      <c r="F158" s="30"/>
      <c r="G158" s="30"/>
      <c r="H158" s="30"/>
      <c r="I158" s="30"/>
      <c r="J158" s="30"/>
      <c r="K158" s="7"/>
      <c r="L158" s="7"/>
      <c r="M158" s="7"/>
      <c r="N158" s="7"/>
      <c r="O158" s="7"/>
      <c r="P158" s="7"/>
      <c r="Q158" s="7"/>
      <c r="R158" s="7"/>
      <c r="S158" s="7"/>
      <c r="T158" s="7"/>
      <c r="U158" s="7"/>
      <c r="V158" s="7"/>
      <c r="W158" s="7"/>
      <c r="X158" s="7"/>
      <c r="Y158" s="7"/>
      <c r="Z158" s="7"/>
      <c r="AA158" s="7"/>
      <c r="AB158" s="7"/>
      <c r="AC158" s="7"/>
      <c r="AD158" s="7"/>
      <c r="AE158" s="7"/>
      <c r="AF158" s="7"/>
      <c r="AG158" s="7"/>
      <c r="AH158" s="7"/>
    </row>
    <row r="159" spans="1:34" ht="15.75" customHeight="1">
      <c r="A159" s="7"/>
      <c r="B159" s="7"/>
      <c r="C159" s="29"/>
      <c r="D159" s="30"/>
      <c r="E159" s="30"/>
      <c r="F159" s="30"/>
      <c r="G159" s="30"/>
      <c r="H159" s="30"/>
      <c r="I159" s="30"/>
      <c r="J159" s="30"/>
      <c r="K159" s="7"/>
      <c r="L159" s="7"/>
      <c r="M159" s="7"/>
      <c r="N159" s="7"/>
      <c r="O159" s="7"/>
      <c r="P159" s="7"/>
      <c r="Q159" s="7"/>
      <c r="R159" s="7"/>
      <c r="S159" s="7"/>
      <c r="T159" s="7"/>
      <c r="U159" s="7"/>
      <c r="V159" s="7"/>
      <c r="W159" s="7"/>
      <c r="X159" s="7"/>
      <c r="Y159" s="7"/>
      <c r="Z159" s="7"/>
      <c r="AA159" s="7"/>
      <c r="AB159" s="7"/>
      <c r="AC159" s="7"/>
      <c r="AD159" s="7"/>
      <c r="AE159" s="7"/>
      <c r="AF159" s="7"/>
      <c r="AG159" s="7"/>
      <c r="AH159" s="7"/>
    </row>
    <row r="160" spans="1:34" ht="15.75" customHeight="1">
      <c r="A160" s="7"/>
      <c r="B160" s="7"/>
      <c r="C160" s="29"/>
      <c r="D160" s="30"/>
      <c r="E160" s="30"/>
      <c r="F160" s="30"/>
      <c r="G160" s="30"/>
      <c r="H160" s="30"/>
      <c r="I160" s="30"/>
      <c r="J160" s="30"/>
      <c r="K160" s="7"/>
      <c r="L160" s="7"/>
      <c r="M160" s="7"/>
      <c r="N160" s="7"/>
      <c r="O160" s="7"/>
      <c r="P160" s="7"/>
      <c r="Q160" s="7"/>
      <c r="R160" s="7"/>
      <c r="S160" s="7"/>
      <c r="T160" s="7"/>
      <c r="U160" s="7"/>
      <c r="V160" s="7"/>
      <c r="W160" s="7"/>
      <c r="X160" s="7"/>
      <c r="Y160" s="7"/>
      <c r="Z160" s="7"/>
      <c r="AA160" s="7"/>
      <c r="AB160" s="7"/>
      <c r="AC160" s="7"/>
      <c r="AD160" s="7"/>
      <c r="AE160" s="7"/>
      <c r="AF160" s="7"/>
      <c r="AG160" s="7"/>
      <c r="AH160" s="7"/>
    </row>
    <row r="161" spans="1:34" ht="15.75" customHeight="1">
      <c r="A161" s="7"/>
      <c r="B161" s="7"/>
      <c r="C161" s="29"/>
      <c r="D161" s="30"/>
      <c r="E161" s="30"/>
      <c r="F161" s="30"/>
      <c r="G161" s="30"/>
      <c r="H161" s="30"/>
      <c r="I161" s="30"/>
      <c r="J161" s="30"/>
      <c r="K161" s="7"/>
      <c r="L161" s="7"/>
      <c r="M161" s="7"/>
      <c r="N161" s="7"/>
      <c r="O161" s="7"/>
      <c r="P161" s="7"/>
      <c r="Q161" s="7"/>
      <c r="R161" s="7"/>
      <c r="S161" s="7"/>
      <c r="T161" s="7"/>
      <c r="U161" s="7"/>
      <c r="V161" s="7"/>
      <c r="W161" s="7"/>
      <c r="X161" s="7"/>
      <c r="Y161" s="7"/>
      <c r="Z161" s="7"/>
      <c r="AA161" s="7"/>
      <c r="AB161" s="7"/>
      <c r="AC161" s="7"/>
      <c r="AD161" s="7"/>
      <c r="AE161" s="7"/>
      <c r="AF161" s="7"/>
      <c r="AG161" s="7"/>
      <c r="AH161" s="7"/>
    </row>
    <row r="162" spans="1:34" ht="15.75" customHeight="1">
      <c r="A162" s="7"/>
      <c r="B162" s="7"/>
      <c r="C162" s="29"/>
      <c r="D162" s="30"/>
      <c r="E162" s="30"/>
      <c r="F162" s="30"/>
      <c r="G162" s="30"/>
      <c r="H162" s="30"/>
      <c r="I162" s="30"/>
      <c r="J162" s="30"/>
      <c r="K162" s="7"/>
      <c r="L162" s="7"/>
      <c r="M162" s="7"/>
      <c r="N162" s="7"/>
      <c r="O162" s="7"/>
      <c r="P162" s="7"/>
      <c r="Q162" s="7"/>
      <c r="R162" s="7"/>
      <c r="S162" s="7"/>
      <c r="T162" s="7"/>
      <c r="U162" s="7"/>
      <c r="V162" s="7"/>
      <c r="W162" s="7"/>
      <c r="X162" s="7"/>
      <c r="Y162" s="7"/>
      <c r="Z162" s="7"/>
      <c r="AA162" s="7"/>
      <c r="AB162" s="7"/>
      <c r="AC162" s="7"/>
      <c r="AD162" s="7"/>
      <c r="AE162" s="7"/>
      <c r="AF162" s="7"/>
      <c r="AG162" s="7"/>
      <c r="AH162" s="7"/>
    </row>
    <row r="163" spans="1:34" ht="15.75" customHeight="1">
      <c r="A163" s="7"/>
      <c r="B163" s="7"/>
      <c r="C163" s="29"/>
      <c r="D163" s="30"/>
      <c r="E163" s="30"/>
      <c r="F163" s="30"/>
      <c r="G163" s="30"/>
      <c r="H163" s="30"/>
      <c r="I163" s="30"/>
      <c r="J163" s="30"/>
      <c r="K163" s="7"/>
      <c r="L163" s="7"/>
      <c r="M163" s="7"/>
      <c r="N163" s="7"/>
      <c r="O163" s="7"/>
      <c r="P163" s="7"/>
      <c r="Q163" s="7"/>
      <c r="R163" s="7"/>
      <c r="S163" s="7"/>
      <c r="T163" s="7"/>
      <c r="U163" s="7"/>
      <c r="V163" s="7"/>
      <c r="W163" s="7"/>
      <c r="X163" s="7"/>
      <c r="Y163" s="7"/>
      <c r="Z163" s="7"/>
      <c r="AA163" s="7"/>
      <c r="AB163" s="7"/>
      <c r="AC163" s="7"/>
      <c r="AD163" s="7"/>
      <c r="AE163" s="7"/>
      <c r="AF163" s="7"/>
      <c r="AG163" s="7"/>
      <c r="AH163" s="7"/>
    </row>
    <row r="164" spans="1:34" ht="15.75" customHeight="1">
      <c r="A164" s="7"/>
      <c r="B164" s="7"/>
      <c r="C164" s="29"/>
      <c r="D164" s="30"/>
      <c r="E164" s="30"/>
      <c r="F164" s="30"/>
      <c r="G164" s="30"/>
      <c r="H164" s="30"/>
      <c r="I164" s="30"/>
      <c r="J164" s="30"/>
      <c r="K164" s="7"/>
      <c r="L164" s="7"/>
      <c r="M164" s="7"/>
      <c r="N164" s="7"/>
      <c r="O164" s="7"/>
      <c r="P164" s="7"/>
      <c r="Q164" s="7"/>
      <c r="R164" s="7"/>
      <c r="S164" s="7"/>
      <c r="T164" s="7"/>
      <c r="U164" s="7"/>
      <c r="V164" s="7"/>
      <c r="W164" s="7"/>
      <c r="X164" s="7"/>
      <c r="Y164" s="7"/>
      <c r="Z164" s="7"/>
      <c r="AA164" s="7"/>
      <c r="AB164" s="7"/>
      <c r="AC164" s="7"/>
      <c r="AD164" s="7"/>
      <c r="AE164" s="7"/>
      <c r="AF164" s="7"/>
      <c r="AG164" s="7"/>
      <c r="AH164" s="7"/>
    </row>
    <row r="165" spans="1:34" ht="15.75" customHeight="1">
      <c r="A165" s="7"/>
      <c r="B165" s="7"/>
      <c r="C165" s="29"/>
      <c r="D165" s="30"/>
      <c r="E165" s="30"/>
      <c r="F165" s="30"/>
      <c r="G165" s="30"/>
      <c r="H165" s="30"/>
      <c r="I165" s="30"/>
      <c r="J165" s="30"/>
      <c r="K165" s="7"/>
      <c r="L165" s="7"/>
      <c r="M165" s="7"/>
      <c r="N165" s="7"/>
      <c r="O165" s="7"/>
      <c r="P165" s="7"/>
      <c r="Q165" s="7"/>
      <c r="R165" s="7"/>
      <c r="S165" s="7"/>
      <c r="T165" s="7"/>
      <c r="U165" s="7"/>
      <c r="V165" s="7"/>
      <c r="W165" s="7"/>
      <c r="X165" s="7"/>
      <c r="Y165" s="7"/>
      <c r="Z165" s="7"/>
      <c r="AA165" s="7"/>
      <c r="AB165" s="7"/>
      <c r="AC165" s="7"/>
      <c r="AD165" s="7"/>
      <c r="AE165" s="7"/>
      <c r="AF165" s="7"/>
      <c r="AG165" s="7"/>
      <c r="AH165" s="7"/>
    </row>
    <row r="166" spans="1:34" ht="15.75" customHeight="1">
      <c r="A166" s="7"/>
      <c r="B166" s="7"/>
      <c r="C166" s="29"/>
      <c r="D166" s="30"/>
      <c r="E166" s="30"/>
      <c r="F166" s="30"/>
      <c r="G166" s="30"/>
      <c r="H166" s="30"/>
      <c r="I166" s="30"/>
      <c r="J166" s="30"/>
      <c r="K166" s="7"/>
      <c r="L166" s="7"/>
      <c r="M166" s="7"/>
      <c r="N166" s="7"/>
      <c r="O166" s="7"/>
      <c r="P166" s="7"/>
      <c r="Q166" s="7"/>
      <c r="R166" s="7"/>
      <c r="S166" s="7"/>
      <c r="T166" s="7"/>
      <c r="U166" s="7"/>
      <c r="V166" s="7"/>
      <c r="W166" s="7"/>
      <c r="X166" s="7"/>
      <c r="Y166" s="7"/>
      <c r="Z166" s="7"/>
      <c r="AA166" s="7"/>
      <c r="AB166" s="7"/>
      <c r="AC166" s="7"/>
      <c r="AD166" s="7"/>
      <c r="AE166" s="7"/>
      <c r="AF166" s="7"/>
      <c r="AG166" s="7"/>
      <c r="AH166" s="7"/>
    </row>
    <row r="167" spans="1:34" ht="15.75" customHeight="1">
      <c r="A167" s="7"/>
      <c r="B167" s="7"/>
      <c r="C167" s="29"/>
      <c r="D167" s="30"/>
      <c r="E167" s="30"/>
      <c r="F167" s="30"/>
      <c r="G167" s="30"/>
      <c r="H167" s="30"/>
      <c r="I167" s="30"/>
      <c r="J167" s="30"/>
      <c r="K167" s="7"/>
      <c r="L167" s="7"/>
      <c r="M167" s="7"/>
      <c r="N167" s="7"/>
      <c r="O167" s="7"/>
      <c r="P167" s="7"/>
      <c r="Q167" s="7"/>
      <c r="R167" s="7"/>
      <c r="S167" s="7"/>
      <c r="T167" s="7"/>
      <c r="U167" s="7"/>
      <c r="V167" s="7"/>
      <c r="W167" s="7"/>
      <c r="X167" s="7"/>
      <c r="Y167" s="7"/>
      <c r="Z167" s="7"/>
      <c r="AA167" s="7"/>
      <c r="AB167" s="7"/>
      <c r="AC167" s="7"/>
      <c r="AD167" s="7"/>
      <c r="AE167" s="7"/>
      <c r="AF167" s="7"/>
      <c r="AG167" s="7"/>
      <c r="AH167" s="7"/>
    </row>
    <row r="168" spans="1:34" ht="15.75" customHeight="1">
      <c r="A168" s="7"/>
      <c r="B168" s="7"/>
      <c r="C168" s="29"/>
      <c r="D168" s="30"/>
      <c r="E168" s="30"/>
      <c r="F168" s="30"/>
      <c r="G168" s="30"/>
      <c r="H168" s="30"/>
      <c r="I168" s="30"/>
      <c r="J168" s="30"/>
      <c r="K168" s="7"/>
      <c r="L168" s="7"/>
      <c r="M168" s="7"/>
      <c r="N168" s="7"/>
      <c r="O168" s="7"/>
      <c r="P168" s="7"/>
      <c r="Q168" s="7"/>
      <c r="R168" s="7"/>
      <c r="S168" s="7"/>
      <c r="T168" s="7"/>
      <c r="U168" s="7"/>
      <c r="V168" s="7"/>
      <c r="W168" s="7"/>
      <c r="X168" s="7"/>
      <c r="Y168" s="7"/>
      <c r="Z168" s="7"/>
      <c r="AA168" s="7"/>
      <c r="AB168" s="7"/>
      <c r="AC168" s="7"/>
      <c r="AD168" s="7"/>
      <c r="AE168" s="7"/>
      <c r="AF168" s="7"/>
      <c r="AG168" s="7"/>
      <c r="AH168" s="7"/>
    </row>
    <row r="169" spans="1:34" ht="15.75" customHeight="1">
      <c r="A169" s="7"/>
      <c r="B169" s="7"/>
      <c r="C169" s="29"/>
      <c r="D169" s="30"/>
      <c r="E169" s="30"/>
      <c r="F169" s="30"/>
      <c r="G169" s="30"/>
      <c r="H169" s="30"/>
      <c r="I169" s="30"/>
      <c r="J169" s="30"/>
      <c r="K169" s="7"/>
      <c r="L169" s="7"/>
      <c r="M169" s="7"/>
      <c r="N169" s="7"/>
      <c r="O169" s="7"/>
      <c r="P169" s="7"/>
      <c r="Q169" s="7"/>
      <c r="R169" s="7"/>
      <c r="S169" s="7"/>
      <c r="T169" s="7"/>
      <c r="U169" s="7"/>
      <c r="V169" s="7"/>
      <c r="W169" s="7"/>
      <c r="X169" s="7"/>
      <c r="Y169" s="7"/>
      <c r="Z169" s="7"/>
      <c r="AA169" s="7"/>
      <c r="AB169" s="7"/>
      <c r="AC169" s="7"/>
      <c r="AD169" s="7"/>
      <c r="AE169" s="7"/>
      <c r="AF169" s="7"/>
      <c r="AG169" s="7"/>
      <c r="AH169" s="7"/>
    </row>
    <row r="170" spans="1:34" ht="15.75" customHeight="1">
      <c r="A170" s="7"/>
      <c r="B170" s="7"/>
      <c r="C170" s="29"/>
      <c r="D170" s="30"/>
      <c r="E170" s="30"/>
      <c r="F170" s="30"/>
      <c r="G170" s="30"/>
      <c r="H170" s="30"/>
      <c r="I170" s="30"/>
      <c r="J170" s="30"/>
      <c r="K170" s="7"/>
      <c r="L170" s="7"/>
      <c r="M170" s="7"/>
      <c r="N170" s="7"/>
      <c r="O170" s="7"/>
      <c r="P170" s="7"/>
      <c r="Q170" s="7"/>
      <c r="R170" s="7"/>
      <c r="S170" s="7"/>
      <c r="T170" s="7"/>
      <c r="U170" s="7"/>
      <c r="V170" s="7"/>
      <c r="W170" s="7"/>
      <c r="X170" s="7"/>
      <c r="Y170" s="7"/>
      <c r="Z170" s="7"/>
      <c r="AA170" s="7"/>
      <c r="AB170" s="7"/>
      <c r="AC170" s="7"/>
      <c r="AD170" s="7"/>
      <c r="AE170" s="7"/>
      <c r="AF170" s="7"/>
      <c r="AG170" s="7"/>
      <c r="AH170" s="7"/>
    </row>
    <row r="171" spans="1:34" ht="15.75" customHeight="1">
      <c r="A171" s="7"/>
      <c r="B171" s="7"/>
      <c r="C171" s="29"/>
      <c r="D171" s="30"/>
      <c r="E171" s="30"/>
      <c r="F171" s="30"/>
      <c r="G171" s="30"/>
      <c r="H171" s="30"/>
      <c r="I171" s="30"/>
      <c r="J171" s="30"/>
      <c r="K171" s="7"/>
      <c r="L171" s="7"/>
      <c r="M171" s="7"/>
      <c r="N171" s="7"/>
      <c r="O171" s="7"/>
      <c r="P171" s="7"/>
      <c r="Q171" s="7"/>
      <c r="R171" s="7"/>
      <c r="S171" s="7"/>
      <c r="T171" s="7"/>
      <c r="U171" s="7"/>
      <c r="V171" s="7"/>
      <c r="W171" s="7"/>
      <c r="X171" s="7"/>
      <c r="Y171" s="7"/>
      <c r="Z171" s="7"/>
      <c r="AA171" s="7"/>
      <c r="AB171" s="7"/>
      <c r="AC171" s="7"/>
      <c r="AD171" s="7"/>
      <c r="AE171" s="7"/>
      <c r="AF171" s="7"/>
      <c r="AG171" s="7"/>
      <c r="AH171" s="7"/>
    </row>
    <row r="172" spans="1:34" ht="15.75" customHeight="1">
      <c r="A172" s="7"/>
      <c r="B172" s="7"/>
      <c r="C172" s="29"/>
      <c r="D172" s="30"/>
      <c r="E172" s="30"/>
      <c r="F172" s="30"/>
      <c r="G172" s="30"/>
      <c r="H172" s="30"/>
      <c r="I172" s="30"/>
      <c r="J172" s="30"/>
      <c r="K172" s="7"/>
      <c r="L172" s="7"/>
      <c r="M172" s="7"/>
      <c r="N172" s="7"/>
      <c r="O172" s="7"/>
      <c r="P172" s="7"/>
      <c r="Q172" s="7"/>
      <c r="R172" s="7"/>
      <c r="S172" s="7"/>
      <c r="T172" s="7"/>
      <c r="U172" s="7"/>
      <c r="V172" s="7"/>
      <c r="W172" s="7"/>
      <c r="X172" s="7"/>
      <c r="Y172" s="7"/>
      <c r="Z172" s="7"/>
      <c r="AA172" s="7"/>
      <c r="AB172" s="7"/>
      <c r="AC172" s="7"/>
      <c r="AD172" s="7"/>
      <c r="AE172" s="7"/>
      <c r="AF172" s="7"/>
      <c r="AG172" s="7"/>
      <c r="AH172" s="7"/>
    </row>
    <row r="173" spans="1:34" ht="15.75" customHeight="1">
      <c r="A173" s="7"/>
      <c r="B173" s="7"/>
      <c r="C173" s="29"/>
      <c r="D173" s="30"/>
      <c r="E173" s="30"/>
      <c r="F173" s="30"/>
      <c r="G173" s="30"/>
      <c r="H173" s="30"/>
      <c r="I173" s="30"/>
      <c r="J173" s="30"/>
      <c r="K173" s="7"/>
      <c r="L173" s="7"/>
      <c r="M173" s="7"/>
      <c r="N173" s="7"/>
      <c r="O173" s="7"/>
      <c r="P173" s="7"/>
      <c r="Q173" s="7"/>
      <c r="R173" s="7"/>
      <c r="S173" s="7"/>
      <c r="T173" s="7"/>
      <c r="U173" s="7"/>
      <c r="V173" s="7"/>
      <c r="W173" s="7"/>
      <c r="X173" s="7"/>
      <c r="Y173" s="7"/>
      <c r="Z173" s="7"/>
      <c r="AA173" s="7"/>
      <c r="AB173" s="7"/>
      <c r="AC173" s="7"/>
      <c r="AD173" s="7"/>
      <c r="AE173" s="7"/>
      <c r="AF173" s="7"/>
      <c r="AG173" s="7"/>
      <c r="AH173" s="7"/>
    </row>
    <row r="174" spans="1:34" ht="15.75" customHeight="1">
      <c r="A174" s="7"/>
      <c r="B174" s="7"/>
      <c r="C174" s="29"/>
      <c r="D174" s="30"/>
      <c r="E174" s="30"/>
      <c r="F174" s="30"/>
      <c r="G174" s="30"/>
      <c r="H174" s="30"/>
      <c r="I174" s="30"/>
      <c r="J174" s="30"/>
      <c r="K174" s="7"/>
      <c r="L174" s="7"/>
      <c r="M174" s="7"/>
      <c r="N174" s="7"/>
      <c r="O174" s="7"/>
      <c r="P174" s="7"/>
      <c r="Q174" s="7"/>
      <c r="R174" s="7"/>
      <c r="S174" s="7"/>
      <c r="T174" s="7"/>
      <c r="U174" s="7"/>
      <c r="V174" s="7"/>
      <c r="W174" s="7"/>
      <c r="X174" s="7"/>
      <c r="Y174" s="7"/>
      <c r="Z174" s="7"/>
      <c r="AA174" s="7"/>
      <c r="AB174" s="7"/>
      <c r="AC174" s="7"/>
      <c r="AD174" s="7"/>
      <c r="AE174" s="7"/>
      <c r="AF174" s="7"/>
      <c r="AG174" s="7"/>
      <c r="AH174" s="7"/>
    </row>
    <row r="175" spans="1:34" ht="15.75" customHeight="1">
      <c r="A175" s="7"/>
      <c r="B175" s="7"/>
      <c r="C175" s="29"/>
      <c r="D175" s="30"/>
      <c r="E175" s="30"/>
      <c r="F175" s="30"/>
      <c r="G175" s="30"/>
      <c r="H175" s="30"/>
      <c r="I175" s="30"/>
      <c r="J175" s="30"/>
      <c r="K175" s="7"/>
      <c r="L175" s="7"/>
      <c r="M175" s="7"/>
      <c r="N175" s="7"/>
      <c r="O175" s="7"/>
      <c r="P175" s="7"/>
      <c r="Q175" s="7"/>
      <c r="R175" s="7"/>
      <c r="S175" s="7"/>
      <c r="T175" s="7"/>
      <c r="U175" s="7"/>
      <c r="V175" s="7"/>
      <c r="W175" s="7"/>
      <c r="X175" s="7"/>
      <c r="Y175" s="7"/>
      <c r="Z175" s="7"/>
      <c r="AA175" s="7"/>
      <c r="AB175" s="7"/>
      <c r="AC175" s="7"/>
      <c r="AD175" s="7"/>
      <c r="AE175" s="7"/>
      <c r="AF175" s="7"/>
      <c r="AG175" s="7"/>
      <c r="AH175" s="7"/>
    </row>
    <row r="176" spans="1:34" ht="15.75" customHeight="1">
      <c r="A176" s="7"/>
      <c r="B176" s="7"/>
      <c r="C176" s="29"/>
      <c r="D176" s="30"/>
      <c r="E176" s="30"/>
      <c r="F176" s="30"/>
      <c r="G176" s="30"/>
      <c r="H176" s="30"/>
      <c r="I176" s="30"/>
      <c r="J176" s="30"/>
      <c r="K176" s="7"/>
      <c r="L176" s="7"/>
      <c r="M176" s="7"/>
      <c r="N176" s="7"/>
      <c r="O176" s="7"/>
      <c r="P176" s="7"/>
      <c r="Q176" s="7"/>
      <c r="R176" s="7"/>
      <c r="S176" s="7"/>
      <c r="T176" s="7"/>
      <c r="U176" s="7"/>
      <c r="V176" s="7"/>
      <c r="W176" s="7"/>
      <c r="X176" s="7"/>
      <c r="Y176" s="7"/>
      <c r="Z176" s="7"/>
      <c r="AA176" s="7"/>
      <c r="AB176" s="7"/>
      <c r="AC176" s="7"/>
      <c r="AD176" s="7"/>
      <c r="AE176" s="7"/>
      <c r="AF176" s="7"/>
      <c r="AG176" s="7"/>
      <c r="AH176" s="7"/>
    </row>
    <row r="177" spans="1:34" ht="15.75" customHeight="1">
      <c r="A177" s="7"/>
      <c r="B177" s="7"/>
      <c r="C177" s="29"/>
      <c r="D177" s="30"/>
      <c r="E177" s="30"/>
      <c r="F177" s="30"/>
      <c r="G177" s="30"/>
      <c r="H177" s="30"/>
      <c r="I177" s="30"/>
      <c r="J177" s="30"/>
      <c r="K177" s="7"/>
      <c r="L177" s="7"/>
      <c r="M177" s="7"/>
      <c r="N177" s="7"/>
      <c r="O177" s="7"/>
      <c r="P177" s="7"/>
      <c r="Q177" s="7"/>
      <c r="R177" s="7"/>
      <c r="S177" s="7"/>
      <c r="T177" s="7"/>
      <c r="U177" s="7"/>
      <c r="V177" s="7"/>
      <c r="W177" s="7"/>
      <c r="X177" s="7"/>
      <c r="Y177" s="7"/>
      <c r="Z177" s="7"/>
      <c r="AA177" s="7"/>
      <c r="AB177" s="7"/>
      <c r="AC177" s="7"/>
      <c r="AD177" s="7"/>
      <c r="AE177" s="7"/>
      <c r="AF177" s="7"/>
      <c r="AG177" s="7"/>
      <c r="AH177" s="7"/>
    </row>
    <row r="178" spans="1:34" ht="15.75" customHeight="1">
      <c r="A178" s="7"/>
      <c r="B178" s="7"/>
      <c r="C178" s="29"/>
      <c r="D178" s="30"/>
      <c r="E178" s="30"/>
      <c r="F178" s="30"/>
      <c r="G178" s="30"/>
      <c r="H178" s="30"/>
      <c r="I178" s="30"/>
      <c r="J178" s="30"/>
      <c r="K178" s="7"/>
      <c r="L178" s="7"/>
      <c r="M178" s="7"/>
      <c r="N178" s="7"/>
      <c r="O178" s="7"/>
      <c r="P178" s="7"/>
      <c r="Q178" s="7"/>
      <c r="R178" s="7"/>
      <c r="S178" s="7"/>
      <c r="T178" s="7"/>
      <c r="U178" s="7"/>
      <c r="V178" s="7"/>
      <c r="W178" s="7"/>
      <c r="X178" s="7"/>
      <c r="Y178" s="7"/>
      <c r="Z178" s="7"/>
      <c r="AA178" s="7"/>
      <c r="AB178" s="7"/>
      <c r="AC178" s="7"/>
      <c r="AD178" s="7"/>
      <c r="AE178" s="7"/>
      <c r="AF178" s="7"/>
      <c r="AG178" s="7"/>
      <c r="AH178" s="7"/>
    </row>
    <row r="179" spans="1:34" ht="15.75" customHeight="1">
      <c r="A179" s="7"/>
      <c r="B179" s="7"/>
      <c r="C179" s="29"/>
      <c r="D179" s="30"/>
      <c r="E179" s="30"/>
      <c r="F179" s="30"/>
      <c r="G179" s="30"/>
      <c r="H179" s="30"/>
      <c r="I179" s="30"/>
      <c r="J179" s="30"/>
      <c r="K179" s="7"/>
      <c r="L179" s="7"/>
      <c r="M179" s="7"/>
      <c r="N179" s="7"/>
      <c r="O179" s="7"/>
      <c r="P179" s="7"/>
      <c r="Q179" s="7"/>
      <c r="R179" s="7"/>
      <c r="S179" s="7"/>
      <c r="T179" s="7"/>
      <c r="U179" s="7"/>
      <c r="V179" s="7"/>
      <c r="W179" s="7"/>
      <c r="X179" s="7"/>
      <c r="Y179" s="7"/>
      <c r="Z179" s="7"/>
      <c r="AA179" s="7"/>
      <c r="AB179" s="7"/>
      <c r="AC179" s="7"/>
      <c r="AD179" s="7"/>
      <c r="AE179" s="7"/>
      <c r="AF179" s="7"/>
      <c r="AG179" s="7"/>
      <c r="AH179" s="7"/>
    </row>
    <row r="180" spans="1:34" ht="15.75" customHeight="1">
      <c r="A180" s="7"/>
      <c r="B180" s="7"/>
      <c r="C180" s="29"/>
      <c r="D180" s="30"/>
      <c r="E180" s="30"/>
      <c r="F180" s="30"/>
      <c r="G180" s="30"/>
      <c r="H180" s="30"/>
      <c r="I180" s="30"/>
      <c r="J180" s="30"/>
      <c r="K180" s="7"/>
      <c r="L180" s="7"/>
      <c r="M180" s="7"/>
      <c r="N180" s="7"/>
      <c r="O180" s="7"/>
      <c r="P180" s="7"/>
      <c r="Q180" s="7"/>
      <c r="R180" s="7"/>
      <c r="S180" s="7"/>
      <c r="T180" s="7"/>
      <c r="U180" s="7"/>
      <c r="V180" s="7"/>
      <c r="W180" s="7"/>
      <c r="X180" s="7"/>
      <c r="Y180" s="7"/>
      <c r="Z180" s="7"/>
      <c r="AA180" s="7"/>
      <c r="AB180" s="7"/>
      <c r="AC180" s="7"/>
      <c r="AD180" s="7"/>
      <c r="AE180" s="7"/>
      <c r="AF180" s="7"/>
      <c r="AG180" s="7"/>
      <c r="AH180" s="7"/>
    </row>
    <row r="181" spans="1:34" ht="15.75" customHeight="1">
      <c r="A181" s="7"/>
      <c r="B181" s="7"/>
      <c r="C181" s="29"/>
      <c r="D181" s="30"/>
      <c r="E181" s="30"/>
      <c r="F181" s="30"/>
      <c r="G181" s="30"/>
      <c r="H181" s="30"/>
      <c r="I181" s="30"/>
      <c r="J181" s="30"/>
      <c r="K181" s="7"/>
      <c r="L181" s="7"/>
      <c r="M181" s="7"/>
      <c r="N181" s="7"/>
      <c r="O181" s="7"/>
      <c r="P181" s="7"/>
      <c r="Q181" s="7"/>
      <c r="R181" s="7"/>
      <c r="S181" s="7"/>
      <c r="T181" s="7"/>
      <c r="U181" s="7"/>
      <c r="V181" s="7"/>
      <c r="W181" s="7"/>
      <c r="X181" s="7"/>
      <c r="Y181" s="7"/>
      <c r="Z181" s="7"/>
      <c r="AA181" s="7"/>
      <c r="AB181" s="7"/>
      <c r="AC181" s="7"/>
      <c r="AD181" s="7"/>
      <c r="AE181" s="7"/>
      <c r="AF181" s="7"/>
      <c r="AG181" s="7"/>
      <c r="AH181" s="7"/>
    </row>
    <row r="182" spans="1:34" ht="15.75" customHeight="1">
      <c r="A182" s="7"/>
      <c r="B182" s="7"/>
      <c r="C182" s="29"/>
      <c r="D182" s="30"/>
      <c r="E182" s="30"/>
      <c r="F182" s="30"/>
      <c r="G182" s="30"/>
      <c r="H182" s="30"/>
      <c r="I182" s="30"/>
      <c r="J182" s="30"/>
      <c r="K182" s="7"/>
      <c r="L182" s="7"/>
      <c r="M182" s="7"/>
      <c r="N182" s="7"/>
      <c r="O182" s="7"/>
      <c r="P182" s="7"/>
      <c r="Q182" s="7"/>
      <c r="R182" s="7"/>
      <c r="S182" s="7"/>
      <c r="T182" s="7"/>
      <c r="U182" s="7"/>
      <c r="V182" s="7"/>
      <c r="W182" s="7"/>
      <c r="X182" s="7"/>
      <c r="Y182" s="7"/>
      <c r="Z182" s="7"/>
      <c r="AA182" s="7"/>
      <c r="AB182" s="7"/>
      <c r="AC182" s="7"/>
      <c r="AD182" s="7"/>
      <c r="AE182" s="7"/>
      <c r="AF182" s="7"/>
      <c r="AG182" s="7"/>
      <c r="AH182" s="7"/>
    </row>
    <row r="183" spans="1:34" ht="15.75" customHeight="1">
      <c r="A183" s="7"/>
      <c r="B183" s="7"/>
      <c r="C183" s="29"/>
      <c r="D183" s="30"/>
      <c r="E183" s="30"/>
      <c r="F183" s="30"/>
      <c r="G183" s="30"/>
      <c r="H183" s="30"/>
      <c r="I183" s="30"/>
      <c r="J183" s="30"/>
      <c r="K183" s="7"/>
      <c r="L183" s="7"/>
      <c r="M183" s="7"/>
      <c r="N183" s="7"/>
      <c r="O183" s="7"/>
      <c r="P183" s="7"/>
      <c r="Q183" s="7"/>
      <c r="R183" s="7"/>
      <c r="S183" s="7"/>
      <c r="T183" s="7"/>
      <c r="U183" s="7"/>
      <c r="V183" s="7"/>
      <c r="W183" s="7"/>
      <c r="X183" s="7"/>
      <c r="Y183" s="7"/>
      <c r="Z183" s="7"/>
      <c r="AA183" s="7"/>
      <c r="AB183" s="7"/>
      <c r="AC183" s="7"/>
      <c r="AD183" s="7"/>
      <c r="AE183" s="7"/>
      <c r="AF183" s="7"/>
      <c r="AG183" s="7"/>
      <c r="AH183" s="7"/>
    </row>
    <row r="184" spans="1:34" ht="15.75" customHeight="1">
      <c r="A184" s="7"/>
      <c r="B184" s="7"/>
      <c r="C184" s="29"/>
      <c r="D184" s="30"/>
      <c r="E184" s="30"/>
      <c r="F184" s="30"/>
      <c r="G184" s="30"/>
      <c r="H184" s="30"/>
      <c r="I184" s="30"/>
      <c r="J184" s="30"/>
      <c r="K184" s="7"/>
      <c r="L184" s="7"/>
      <c r="M184" s="7"/>
      <c r="N184" s="7"/>
      <c r="O184" s="7"/>
      <c r="P184" s="7"/>
      <c r="Q184" s="7"/>
      <c r="R184" s="7"/>
      <c r="S184" s="7"/>
      <c r="T184" s="7"/>
      <c r="U184" s="7"/>
      <c r="V184" s="7"/>
      <c r="W184" s="7"/>
      <c r="X184" s="7"/>
      <c r="Y184" s="7"/>
      <c r="Z184" s="7"/>
      <c r="AA184" s="7"/>
      <c r="AB184" s="7"/>
      <c r="AC184" s="7"/>
      <c r="AD184" s="7"/>
      <c r="AE184" s="7"/>
      <c r="AF184" s="7"/>
      <c r="AG184" s="7"/>
      <c r="AH184" s="7"/>
    </row>
    <row r="185" spans="1:34" ht="15.75" customHeight="1">
      <c r="A185" s="7"/>
      <c r="B185" s="7"/>
      <c r="C185" s="29"/>
      <c r="D185" s="30"/>
      <c r="E185" s="30"/>
      <c r="F185" s="30"/>
      <c r="G185" s="30"/>
      <c r="H185" s="30"/>
      <c r="I185" s="30"/>
      <c r="J185" s="30"/>
      <c r="K185" s="7"/>
      <c r="L185" s="7"/>
      <c r="M185" s="7"/>
      <c r="N185" s="7"/>
      <c r="O185" s="7"/>
      <c r="P185" s="7"/>
      <c r="Q185" s="7"/>
      <c r="R185" s="7"/>
      <c r="S185" s="7"/>
      <c r="T185" s="7"/>
      <c r="U185" s="7"/>
      <c r="V185" s="7"/>
      <c r="W185" s="7"/>
      <c r="X185" s="7"/>
      <c r="Y185" s="7"/>
      <c r="Z185" s="7"/>
      <c r="AA185" s="7"/>
      <c r="AB185" s="7"/>
      <c r="AC185" s="7"/>
      <c r="AD185" s="7"/>
      <c r="AE185" s="7"/>
      <c r="AF185" s="7"/>
      <c r="AG185" s="7"/>
      <c r="AH185" s="7"/>
    </row>
    <row r="186" spans="1:34" ht="15.75" customHeight="1">
      <c r="A186" s="7"/>
      <c r="B186" s="7"/>
      <c r="C186" s="29"/>
      <c r="D186" s="30"/>
      <c r="E186" s="30"/>
      <c r="F186" s="30"/>
      <c r="G186" s="30"/>
      <c r="H186" s="30"/>
      <c r="I186" s="30"/>
      <c r="J186" s="30"/>
      <c r="K186" s="7"/>
      <c r="L186" s="7"/>
      <c r="M186" s="7"/>
      <c r="N186" s="7"/>
      <c r="O186" s="7"/>
      <c r="P186" s="7"/>
      <c r="Q186" s="7"/>
      <c r="R186" s="7"/>
      <c r="S186" s="7"/>
      <c r="T186" s="7"/>
      <c r="U186" s="7"/>
      <c r="V186" s="7"/>
      <c r="W186" s="7"/>
      <c r="X186" s="7"/>
      <c r="Y186" s="7"/>
      <c r="Z186" s="7"/>
      <c r="AA186" s="7"/>
      <c r="AB186" s="7"/>
      <c r="AC186" s="7"/>
      <c r="AD186" s="7"/>
      <c r="AE186" s="7"/>
      <c r="AF186" s="7"/>
      <c r="AG186" s="7"/>
      <c r="AH186" s="7"/>
    </row>
    <row r="187" spans="1:34" ht="15.75" customHeight="1">
      <c r="A187" s="7"/>
      <c r="B187" s="7"/>
      <c r="C187" s="29"/>
      <c r="D187" s="30"/>
      <c r="E187" s="30"/>
      <c r="F187" s="30"/>
      <c r="G187" s="30"/>
      <c r="H187" s="30"/>
      <c r="I187" s="30"/>
      <c r="J187" s="30"/>
      <c r="K187" s="7"/>
      <c r="L187" s="7"/>
      <c r="M187" s="7"/>
      <c r="N187" s="7"/>
      <c r="O187" s="7"/>
      <c r="P187" s="7"/>
      <c r="Q187" s="7"/>
      <c r="R187" s="7"/>
      <c r="S187" s="7"/>
      <c r="T187" s="7"/>
      <c r="U187" s="7"/>
      <c r="V187" s="7"/>
      <c r="W187" s="7"/>
      <c r="X187" s="7"/>
      <c r="Y187" s="7"/>
      <c r="Z187" s="7"/>
      <c r="AA187" s="7"/>
      <c r="AB187" s="7"/>
      <c r="AC187" s="7"/>
      <c r="AD187" s="7"/>
      <c r="AE187" s="7"/>
      <c r="AF187" s="7"/>
      <c r="AG187" s="7"/>
      <c r="AH187" s="7"/>
    </row>
    <row r="188" spans="1:34" ht="15.75" customHeight="1">
      <c r="A188" s="7"/>
      <c r="B188" s="7"/>
      <c r="C188" s="29"/>
      <c r="D188" s="30"/>
      <c r="E188" s="30"/>
      <c r="F188" s="30"/>
      <c r="G188" s="30"/>
      <c r="H188" s="30"/>
      <c r="I188" s="30"/>
      <c r="J188" s="30"/>
      <c r="K188" s="7"/>
      <c r="L188" s="7"/>
      <c r="M188" s="7"/>
      <c r="N188" s="7"/>
      <c r="O188" s="7"/>
      <c r="P188" s="7"/>
      <c r="Q188" s="7"/>
      <c r="R188" s="7"/>
      <c r="S188" s="7"/>
      <c r="T188" s="7"/>
      <c r="U188" s="7"/>
      <c r="V188" s="7"/>
      <c r="W188" s="7"/>
      <c r="X188" s="7"/>
      <c r="Y188" s="7"/>
      <c r="Z188" s="7"/>
      <c r="AA188" s="7"/>
      <c r="AB188" s="7"/>
      <c r="AC188" s="7"/>
      <c r="AD188" s="7"/>
      <c r="AE188" s="7"/>
      <c r="AF188" s="7"/>
      <c r="AG188" s="7"/>
      <c r="AH188" s="7"/>
    </row>
    <row r="189" spans="1:34" ht="15.75" customHeight="1">
      <c r="A189" s="7"/>
      <c r="B189" s="7"/>
      <c r="C189" s="29"/>
      <c r="D189" s="30"/>
      <c r="E189" s="30"/>
      <c r="F189" s="30"/>
      <c r="G189" s="30"/>
      <c r="H189" s="30"/>
      <c r="I189" s="30"/>
      <c r="J189" s="30"/>
      <c r="K189" s="7"/>
      <c r="L189" s="7"/>
      <c r="M189" s="7"/>
      <c r="N189" s="7"/>
      <c r="O189" s="7"/>
      <c r="P189" s="7"/>
      <c r="Q189" s="7"/>
      <c r="R189" s="7"/>
      <c r="S189" s="7"/>
      <c r="T189" s="7"/>
      <c r="U189" s="7"/>
      <c r="V189" s="7"/>
      <c r="W189" s="7"/>
      <c r="X189" s="7"/>
      <c r="Y189" s="7"/>
      <c r="Z189" s="7"/>
      <c r="AA189" s="7"/>
      <c r="AB189" s="7"/>
      <c r="AC189" s="7"/>
      <c r="AD189" s="7"/>
      <c r="AE189" s="7"/>
      <c r="AF189" s="7"/>
      <c r="AG189" s="7"/>
      <c r="AH189" s="7"/>
    </row>
    <row r="190" spans="1:34" ht="15.75" customHeight="1">
      <c r="A190" s="7"/>
      <c r="B190" s="7"/>
      <c r="C190" s="29"/>
      <c r="D190" s="30"/>
      <c r="E190" s="30"/>
      <c r="F190" s="30"/>
      <c r="G190" s="30"/>
      <c r="H190" s="30"/>
      <c r="I190" s="30"/>
      <c r="J190" s="30"/>
      <c r="K190" s="7"/>
      <c r="L190" s="7"/>
      <c r="M190" s="7"/>
      <c r="N190" s="7"/>
      <c r="O190" s="7"/>
      <c r="P190" s="7"/>
      <c r="Q190" s="7"/>
      <c r="R190" s="7"/>
      <c r="S190" s="7"/>
      <c r="T190" s="7"/>
      <c r="U190" s="7"/>
      <c r="V190" s="7"/>
      <c r="W190" s="7"/>
      <c r="X190" s="7"/>
      <c r="Y190" s="7"/>
      <c r="Z190" s="7"/>
      <c r="AA190" s="7"/>
      <c r="AB190" s="7"/>
      <c r="AC190" s="7"/>
      <c r="AD190" s="7"/>
      <c r="AE190" s="7"/>
      <c r="AF190" s="7"/>
      <c r="AG190" s="7"/>
      <c r="AH190" s="7"/>
    </row>
    <row r="191" spans="1:34" ht="15.75" customHeight="1">
      <c r="A191" s="7"/>
      <c r="B191" s="7"/>
      <c r="C191" s="29"/>
      <c r="D191" s="30"/>
      <c r="E191" s="30"/>
      <c r="F191" s="30"/>
      <c r="G191" s="30"/>
      <c r="H191" s="30"/>
      <c r="I191" s="30"/>
      <c r="J191" s="30"/>
      <c r="K191" s="7"/>
      <c r="L191" s="7"/>
      <c r="M191" s="7"/>
      <c r="N191" s="7"/>
      <c r="O191" s="7"/>
      <c r="P191" s="7"/>
      <c r="Q191" s="7"/>
      <c r="R191" s="7"/>
      <c r="S191" s="7"/>
      <c r="T191" s="7"/>
      <c r="U191" s="7"/>
      <c r="V191" s="7"/>
      <c r="W191" s="7"/>
      <c r="X191" s="7"/>
      <c r="Y191" s="7"/>
      <c r="Z191" s="7"/>
      <c r="AA191" s="7"/>
      <c r="AB191" s="7"/>
      <c r="AC191" s="7"/>
      <c r="AD191" s="7"/>
      <c r="AE191" s="7"/>
      <c r="AF191" s="7"/>
      <c r="AG191" s="7"/>
      <c r="AH191" s="7"/>
    </row>
    <row r="192" spans="1:34" ht="15.75" customHeight="1">
      <c r="A192" s="7"/>
      <c r="B192" s="7"/>
      <c r="C192" s="29"/>
      <c r="D192" s="30"/>
      <c r="E192" s="30"/>
      <c r="F192" s="30"/>
      <c r="G192" s="30"/>
      <c r="H192" s="30"/>
      <c r="I192" s="30"/>
      <c r="J192" s="30"/>
      <c r="K192" s="7"/>
      <c r="L192" s="7"/>
      <c r="M192" s="7"/>
      <c r="N192" s="7"/>
      <c r="O192" s="7"/>
      <c r="P192" s="7"/>
      <c r="Q192" s="7"/>
      <c r="R192" s="7"/>
      <c r="S192" s="7"/>
      <c r="T192" s="7"/>
      <c r="U192" s="7"/>
      <c r="V192" s="7"/>
      <c r="W192" s="7"/>
      <c r="X192" s="7"/>
      <c r="Y192" s="7"/>
      <c r="Z192" s="7"/>
      <c r="AA192" s="7"/>
      <c r="AB192" s="7"/>
      <c r="AC192" s="7"/>
      <c r="AD192" s="7"/>
      <c r="AE192" s="7"/>
      <c r="AF192" s="7"/>
      <c r="AG192" s="7"/>
      <c r="AH192" s="7"/>
    </row>
    <row r="193" spans="1:34" ht="15.75" customHeight="1">
      <c r="A193" s="7"/>
      <c r="B193" s="7"/>
      <c r="C193" s="29"/>
      <c r="D193" s="30"/>
      <c r="E193" s="30"/>
      <c r="F193" s="30"/>
      <c r="G193" s="30"/>
      <c r="H193" s="30"/>
      <c r="I193" s="30"/>
      <c r="J193" s="30"/>
      <c r="K193" s="7"/>
      <c r="L193" s="7"/>
      <c r="M193" s="7"/>
      <c r="N193" s="7"/>
      <c r="O193" s="7"/>
      <c r="P193" s="7"/>
      <c r="Q193" s="7"/>
      <c r="R193" s="7"/>
      <c r="S193" s="7"/>
      <c r="T193" s="7"/>
      <c r="U193" s="7"/>
      <c r="V193" s="7"/>
      <c r="W193" s="7"/>
      <c r="X193" s="7"/>
      <c r="Y193" s="7"/>
      <c r="Z193" s="7"/>
      <c r="AA193" s="7"/>
      <c r="AB193" s="7"/>
      <c r="AC193" s="7"/>
      <c r="AD193" s="7"/>
      <c r="AE193" s="7"/>
      <c r="AF193" s="7"/>
      <c r="AG193" s="7"/>
      <c r="AH193" s="7"/>
    </row>
    <row r="194" spans="1:34" ht="15.75" customHeight="1">
      <c r="A194" s="7"/>
      <c r="B194" s="7"/>
      <c r="C194" s="29"/>
      <c r="D194" s="30"/>
      <c r="E194" s="30"/>
      <c r="F194" s="30"/>
      <c r="G194" s="30"/>
      <c r="H194" s="30"/>
      <c r="I194" s="30"/>
      <c r="J194" s="30"/>
      <c r="K194" s="7"/>
      <c r="L194" s="7"/>
      <c r="M194" s="7"/>
      <c r="N194" s="7"/>
      <c r="O194" s="7"/>
      <c r="P194" s="7"/>
      <c r="Q194" s="7"/>
      <c r="R194" s="7"/>
      <c r="S194" s="7"/>
      <c r="T194" s="7"/>
      <c r="U194" s="7"/>
      <c r="V194" s="7"/>
      <c r="W194" s="7"/>
      <c r="X194" s="7"/>
      <c r="Y194" s="7"/>
      <c r="Z194" s="7"/>
      <c r="AA194" s="7"/>
      <c r="AB194" s="7"/>
      <c r="AC194" s="7"/>
      <c r="AD194" s="7"/>
      <c r="AE194" s="7"/>
      <c r="AF194" s="7"/>
      <c r="AG194" s="7"/>
      <c r="AH194" s="7"/>
    </row>
    <row r="195" spans="1:34" ht="15.75" customHeight="1">
      <c r="A195" s="7"/>
      <c r="B195" s="7"/>
      <c r="C195" s="29"/>
      <c r="D195" s="30"/>
      <c r="E195" s="30"/>
      <c r="F195" s="30"/>
      <c r="G195" s="30"/>
      <c r="H195" s="30"/>
      <c r="I195" s="30"/>
      <c r="J195" s="30"/>
      <c r="K195" s="7"/>
      <c r="L195" s="7"/>
      <c r="M195" s="7"/>
      <c r="N195" s="7"/>
      <c r="O195" s="7"/>
      <c r="P195" s="7"/>
      <c r="Q195" s="7"/>
      <c r="R195" s="7"/>
      <c r="S195" s="7"/>
      <c r="T195" s="7"/>
      <c r="U195" s="7"/>
      <c r="V195" s="7"/>
      <c r="W195" s="7"/>
      <c r="X195" s="7"/>
      <c r="Y195" s="7"/>
      <c r="Z195" s="7"/>
      <c r="AA195" s="7"/>
      <c r="AB195" s="7"/>
      <c r="AC195" s="7"/>
      <c r="AD195" s="7"/>
      <c r="AE195" s="7"/>
      <c r="AF195" s="7"/>
      <c r="AG195" s="7"/>
      <c r="AH195" s="7"/>
    </row>
    <row r="196" spans="1:34" ht="15.75" customHeight="1">
      <c r="A196" s="7"/>
      <c r="B196" s="7"/>
      <c r="C196" s="29"/>
      <c r="D196" s="30"/>
      <c r="E196" s="30"/>
      <c r="F196" s="30"/>
      <c r="G196" s="30"/>
      <c r="H196" s="30"/>
      <c r="I196" s="30"/>
      <c r="J196" s="30"/>
      <c r="K196" s="7"/>
      <c r="L196" s="7"/>
      <c r="M196" s="7"/>
      <c r="N196" s="7"/>
      <c r="O196" s="7"/>
      <c r="P196" s="7"/>
      <c r="Q196" s="7"/>
      <c r="R196" s="7"/>
      <c r="S196" s="7"/>
      <c r="T196" s="7"/>
      <c r="U196" s="7"/>
      <c r="V196" s="7"/>
      <c r="W196" s="7"/>
      <c r="X196" s="7"/>
      <c r="Y196" s="7"/>
      <c r="Z196" s="7"/>
      <c r="AA196" s="7"/>
      <c r="AB196" s="7"/>
      <c r="AC196" s="7"/>
      <c r="AD196" s="7"/>
      <c r="AE196" s="7"/>
      <c r="AF196" s="7"/>
      <c r="AG196" s="7"/>
      <c r="AH196" s="7"/>
    </row>
    <row r="197" spans="1:34" ht="15.75" customHeight="1">
      <c r="A197" s="7"/>
      <c r="B197" s="7"/>
      <c r="C197" s="29"/>
      <c r="D197" s="30"/>
      <c r="E197" s="30"/>
      <c r="F197" s="30"/>
      <c r="G197" s="30"/>
      <c r="H197" s="30"/>
      <c r="I197" s="30"/>
      <c r="J197" s="30"/>
      <c r="K197" s="7"/>
      <c r="L197" s="7"/>
      <c r="M197" s="7"/>
      <c r="N197" s="7"/>
      <c r="O197" s="7"/>
      <c r="P197" s="7"/>
      <c r="Q197" s="7"/>
      <c r="R197" s="7"/>
      <c r="S197" s="7"/>
      <c r="T197" s="7"/>
      <c r="U197" s="7"/>
      <c r="V197" s="7"/>
      <c r="W197" s="7"/>
      <c r="X197" s="7"/>
      <c r="Y197" s="7"/>
      <c r="Z197" s="7"/>
      <c r="AA197" s="7"/>
      <c r="AB197" s="7"/>
      <c r="AC197" s="7"/>
      <c r="AD197" s="7"/>
      <c r="AE197" s="7"/>
      <c r="AF197" s="7"/>
      <c r="AG197" s="7"/>
      <c r="AH197" s="7"/>
    </row>
    <row r="198" spans="1:34" ht="15.75" customHeight="1">
      <c r="A198" s="7"/>
      <c r="B198" s="7"/>
      <c r="C198" s="29"/>
      <c r="D198" s="30"/>
      <c r="E198" s="30"/>
      <c r="F198" s="30"/>
      <c r="G198" s="30"/>
      <c r="H198" s="30"/>
      <c r="I198" s="30"/>
      <c r="J198" s="30"/>
      <c r="K198" s="7"/>
      <c r="L198" s="7"/>
      <c r="M198" s="7"/>
      <c r="N198" s="7"/>
      <c r="O198" s="7"/>
      <c r="P198" s="7"/>
      <c r="Q198" s="7"/>
      <c r="R198" s="7"/>
      <c r="S198" s="7"/>
      <c r="T198" s="7"/>
      <c r="U198" s="7"/>
      <c r="V198" s="7"/>
      <c r="W198" s="7"/>
      <c r="X198" s="7"/>
      <c r="Y198" s="7"/>
      <c r="Z198" s="7"/>
      <c r="AA198" s="7"/>
      <c r="AB198" s="7"/>
      <c r="AC198" s="7"/>
      <c r="AD198" s="7"/>
      <c r="AE198" s="7"/>
      <c r="AF198" s="7"/>
      <c r="AG198" s="7"/>
      <c r="AH198" s="7"/>
    </row>
    <row r="199" spans="1:34" ht="15.75" customHeight="1">
      <c r="A199" s="7"/>
      <c r="B199" s="7"/>
      <c r="C199" s="29"/>
      <c r="D199" s="30"/>
      <c r="E199" s="30"/>
      <c r="F199" s="30"/>
      <c r="G199" s="30"/>
      <c r="H199" s="30"/>
      <c r="I199" s="30"/>
      <c r="J199" s="30"/>
      <c r="K199" s="7"/>
      <c r="L199" s="7"/>
      <c r="M199" s="7"/>
      <c r="N199" s="7"/>
      <c r="O199" s="7"/>
      <c r="P199" s="7"/>
      <c r="Q199" s="7"/>
      <c r="R199" s="7"/>
      <c r="S199" s="7"/>
      <c r="T199" s="7"/>
      <c r="U199" s="7"/>
      <c r="V199" s="7"/>
      <c r="W199" s="7"/>
      <c r="X199" s="7"/>
      <c r="Y199" s="7"/>
      <c r="Z199" s="7"/>
      <c r="AA199" s="7"/>
      <c r="AB199" s="7"/>
      <c r="AC199" s="7"/>
      <c r="AD199" s="7"/>
      <c r="AE199" s="7"/>
      <c r="AF199" s="7"/>
      <c r="AG199" s="7"/>
      <c r="AH199" s="7"/>
    </row>
    <row r="200" spans="1:34" ht="15.75" customHeight="1">
      <c r="A200" s="7"/>
      <c r="B200" s="7"/>
      <c r="C200" s="29"/>
      <c r="D200" s="30"/>
      <c r="E200" s="30"/>
      <c r="F200" s="30"/>
      <c r="G200" s="30"/>
      <c r="H200" s="30"/>
      <c r="I200" s="30"/>
      <c r="J200" s="30"/>
      <c r="K200" s="7"/>
      <c r="L200" s="7"/>
      <c r="M200" s="7"/>
      <c r="N200" s="7"/>
      <c r="O200" s="7"/>
      <c r="P200" s="7"/>
      <c r="Q200" s="7"/>
      <c r="R200" s="7"/>
      <c r="S200" s="7"/>
      <c r="T200" s="7"/>
      <c r="U200" s="7"/>
      <c r="V200" s="7"/>
      <c r="W200" s="7"/>
      <c r="X200" s="7"/>
      <c r="Y200" s="7"/>
      <c r="Z200" s="7"/>
      <c r="AA200" s="7"/>
      <c r="AB200" s="7"/>
      <c r="AC200" s="7"/>
      <c r="AD200" s="7"/>
      <c r="AE200" s="7"/>
      <c r="AF200" s="7"/>
      <c r="AG200" s="7"/>
      <c r="AH200" s="7"/>
    </row>
    <row r="201" spans="1:34" ht="15.75" customHeight="1">
      <c r="A201" s="7"/>
      <c r="B201" s="7"/>
      <c r="C201" s="29"/>
      <c r="D201" s="30"/>
      <c r="E201" s="30"/>
      <c r="F201" s="30"/>
      <c r="G201" s="30"/>
      <c r="H201" s="30"/>
      <c r="I201" s="30"/>
      <c r="J201" s="30"/>
      <c r="K201" s="7"/>
      <c r="L201" s="7"/>
      <c r="M201" s="7"/>
      <c r="N201" s="7"/>
      <c r="O201" s="7"/>
      <c r="P201" s="7"/>
      <c r="Q201" s="7"/>
      <c r="R201" s="7"/>
      <c r="S201" s="7"/>
      <c r="T201" s="7"/>
      <c r="U201" s="7"/>
      <c r="V201" s="7"/>
      <c r="W201" s="7"/>
      <c r="X201" s="7"/>
      <c r="Y201" s="7"/>
      <c r="Z201" s="7"/>
      <c r="AA201" s="7"/>
      <c r="AB201" s="7"/>
      <c r="AC201" s="7"/>
      <c r="AD201" s="7"/>
      <c r="AE201" s="7"/>
      <c r="AF201" s="7"/>
      <c r="AG201" s="7"/>
      <c r="AH201" s="7"/>
    </row>
    <row r="202" spans="1:34" ht="15.75" customHeight="1">
      <c r="A202" s="7"/>
      <c r="B202" s="7"/>
      <c r="C202" s="29"/>
      <c r="D202" s="30"/>
      <c r="E202" s="30"/>
      <c r="F202" s="30"/>
      <c r="G202" s="30"/>
      <c r="H202" s="30"/>
      <c r="I202" s="30"/>
      <c r="J202" s="30"/>
      <c r="K202" s="7"/>
      <c r="L202" s="7"/>
      <c r="M202" s="7"/>
      <c r="N202" s="7"/>
      <c r="O202" s="7"/>
      <c r="P202" s="7"/>
      <c r="Q202" s="7"/>
      <c r="R202" s="7"/>
      <c r="S202" s="7"/>
      <c r="T202" s="7"/>
      <c r="U202" s="7"/>
      <c r="V202" s="7"/>
      <c r="W202" s="7"/>
      <c r="X202" s="7"/>
      <c r="Y202" s="7"/>
      <c r="Z202" s="7"/>
      <c r="AA202" s="7"/>
      <c r="AB202" s="7"/>
      <c r="AC202" s="7"/>
      <c r="AD202" s="7"/>
      <c r="AE202" s="7"/>
      <c r="AF202" s="7"/>
      <c r="AG202" s="7"/>
      <c r="AH202" s="7"/>
    </row>
    <row r="203" spans="1:34" ht="15.75" customHeight="1">
      <c r="A203" s="7"/>
      <c r="B203" s="7"/>
      <c r="C203" s="29"/>
      <c r="D203" s="30"/>
      <c r="E203" s="30"/>
      <c r="F203" s="30"/>
      <c r="G203" s="30"/>
      <c r="H203" s="30"/>
      <c r="I203" s="30"/>
      <c r="J203" s="30"/>
      <c r="K203" s="7"/>
      <c r="L203" s="7"/>
      <c r="M203" s="7"/>
      <c r="N203" s="7"/>
      <c r="O203" s="7"/>
      <c r="P203" s="7"/>
      <c r="Q203" s="7"/>
      <c r="R203" s="7"/>
      <c r="S203" s="7"/>
      <c r="T203" s="7"/>
      <c r="U203" s="7"/>
      <c r="V203" s="7"/>
      <c r="W203" s="7"/>
      <c r="X203" s="7"/>
      <c r="Y203" s="7"/>
      <c r="Z203" s="7"/>
      <c r="AA203" s="7"/>
      <c r="AB203" s="7"/>
      <c r="AC203" s="7"/>
      <c r="AD203" s="7"/>
      <c r="AE203" s="7"/>
      <c r="AF203" s="7"/>
      <c r="AG203" s="7"/>
      <c r="AH203" s="7"/>
    </row>
    <row r="204" spans="1:34" ht="15.75" customHeight="1">
      <c r="A204" s="7"/>
      <c r="B204" s="7"/>
      <c r="C204" s="29"/>
      <c r="D204" s="30"/>
      <c r="E204" s="30"/>
      <c r="F204" s="30"/>
      <c r="G204" s="30"/>
      <c r="H204" s="30"/>
      <c r="I204" s="30"/>
      <c r="J204" s="30"/>
      <c r="K204" s="7"/>
      <c r="L204" s="7"/>
      <c r="M204" s="7"/>
      <c r="N204" s="7"/>
      <c r="O204" s="7"/>
      <c r="P204" s="7"/>
      <c r="Q204" s="7"/>
      <c r="R204" s="7"/>
      <c r="S204" s="7"/>
      <c r="T204" s="7"/>
      <c r="U204" s="7"/>
      <c r="V204" s="7"/>
      <c r="W204" s="7"/>
      <c r="X204" s="7"/>
      <c r="Y204" s="7"/>
      <c r="Z204" s="7"/>
      <c r="AA204" s="7"/>
      <c r="AB204" s="7"/>
      <c r="AC204" s="7"/>
      <c r="AD204" s="7"/>
      <c r="AE204" s="7"/>
      <c r="AF204" s="7"/>
      <c r="AG204" s="7"/>
      <c r="AH204" s="7"/>
    </row>
    <row r="205" spans="1:34" ht="15.75" customHeight="1">
      <c r="A205" s="7"/>
      <c r="B205" s="7"/>
      <c r="C205" s="29"/>
      <c r="D205" s="30"/>
      <c r="E205" s="30"/>
      <c r="F205" s="30"/>
      <c r="G205" s="30"/>
      <c r="H205" s="30"/>
      <c r="I205" s="30"/>
      <c r="J205" s="30"/>
      <c r="K205" s="7"/>
      <c r="L205" s="7"/>
      <c r="M205" s="7"/>
      <c r="N205" s="7"/>
      <c r="O205" s="7"/>
      <c r="P205" s="7"/>
      <c r="Q205" s="7"/>
      <c r="R205" s="7"/>
      <c r="S205" s="7"/>
      <c r="T205" s="7"/>
      <c r="U205" s="7"/>
      <c r="V205" s="7"/>
      <c r="W205" s="7"/>
      <c r="X205" s="7"/>
      <c r="Y205" s="7"/>
      <c r="Z205" s="7"/>
      <c r="AA205" s="7"/>
      <c r="AB205" s="7"/>
      <c r="AC205" s="7"/>
      <c r="AD205" s="7"/>
      <c r="AE205" s="7"/>
      <c r="AF205" s="7"/>
      <c r="AG205" s="7"/>
      <c r="AH205" s="7"/>
    </row>
    <row r="206" spans="1:34" ht="15.75" customHeight="1">
      <c r="A206" s="7"/>
      <c r="B206" s="7"/>
      <c r="C206" s="29"/>
      <c r="D206" s="30"/>
      <c r="E206" s="30"/>
      <c r="F206" s="30"/>
      <c r="G206" s="30"/>
      <c r="H206" s="30"/>
      <c r="I206" s="30"/>
      <c r="J206" s="30"/>
      <c r="K206" s="7"/>
      <c r="L206" s="7"/>
      <c r="M206" s="7"/>
      <c r="N206" s="7"/>
      <c r="O206" s="7"/>
      <c r="P206" s="7"/>
      <c r="Q206" s="7"/>
      <c r="R206" s="7"/>
      <c r="S206" s="7"/>
      <c r="T206" s="7"/>
      <c r="U206" s="7"/>
      <c r="V206" s="7"/>
      <c r="W206" s="7"/>
      <c r="X206" s="7"/>
      <c r="Y206" s="7"/>
      <c r="Z206" s="7"/>
      <c r="AA206" s="7"/>
      <c r="AB206" s="7"/>
      <c r="AC206" s="7"/>
      <c r="AD206" s="7"/>
      <c r="AE206" s="7"/>
      <c r="AF206" s="7"/>
      <c r="AG206" s="7"/>
      <c r="AH206" s="7"/>
    </row>
    <row r="207" spans="1:34" ht="15.75" customHeight="1">
      <c r="A207" s="7"/>
      <c r="B207" s="7"/>
      <c r="C207" s="29"/>
      <c r="D207" s="30"/>
      <c r="E207" s="30"/>
      <c r="F207" s="30"/>
      <c r="G207" s="30"/>
      <c r="H207" s="30"/>
      <c r="I207" s="30"/>
      <c r="J207" s="30"/>
      <c r="K207" s="7"/>
      <c r="L207" s="7"/>
      <c r="M207" s="7"/>
      <c r="N207" s="7"/>
      <c r="O207" s="7"/>
      <c r="P207" s="7"/>
      <c r="Q207" s="7"/>
      <c r="R207" s="7"/>
      <c r="S207" s="7"/>
      <c r="T207" s="7"/>
      <c r="U207" s="7"/>
      <c r="V207" s="7"/>
      <c r="W207" s="7"/>
      <c r="X207" s="7"/>
      <c r="Y207" s="7"/>
      <c r="Z207" s="7"/>
      <c r="AA207" s="7"/>
      <c r="AB207" s="7"/>
      <c r="AC207" s="7"/>
      <c r="AD207" s="7"/>
      <c r="AE207" s="7"/>
      <c r="AF207" s="7"/>
      <c r="AG207" s="7"/>
      <c r="AH207" s="7"/>
    </row>
    <row r="208" spans="1:34" ht="15.75" customHeight="1">
      <c r="A208" s="7"/>
      <c r="B208" s="7"/>
      <c r="C208" s="29"/>
      <c r="D208" s="30"/>
      <c r="E208" s="30"/>
      <c r="F208" s="30"/>
      <c r="G208" s="30"/>
      <c r="H208" s="30"/>
      <c r="I208" s="30"/>
      <c r="J208" s="30"/>
      <c r="K208" s="7"/>
      <c r="L208" s="7"/>
      <c r="M208" s="7"/>
      <c r="N208" s="7"/>
      <c r="O208" s="7"/>
      <c r="P208" s="7"/>
      <c r="Q208" s="7"/>
      <c r="R208" s="7"/>
      <c r="S208" s="7"/>
      <c r="T208" s="7"/>
      <c r="U208" s="7"/>
      <c r="V208" s="7"/>
      <c r="W208" s="7"/>
      <c r="X208" s="7"/>
      <c r="Y208" s="7"/>
      <c r="Z208" s="7"/>
      <c r="AA208" s="7"/>
      <c r="AB208" s="7"/>
      <c r="AC208" s="7"/>
      <c r="AD208" s="7"/>
      <c r="AE208" s="7"/>
      <c r="AF208" s="7"/>
      <c r="AG208" s="7"/>
      <c r="AH208" s="7"/>
    </row>
    <row r="209" spans="1:34" ht="15.75" customHeight="1">
      <c r="A209" s="7"/>
      <c r="B209" s="7"/>
      <c r="C209" s="29"/>
      <c r="D209" s="30"/>
      <c r="E209" s="30"/>
      <c r="F209" s="30"/>
      <c r="G209" s="30"/>
      <c r="H209" s="30"/>
      <c r="I209" s="30"/>
      <c r="J209" s="30"/>
      <c r="K209" s="7"/>
      <c r="L209" s="7"/>
      <c r="M209" s="7"/>
      <c r="N209" s="7"/>
      <c r="O209" s="7"/>
      <c r="P209" s="7"/>
      <c r="Q209" s="7"/>
      <c r="R209" s="7"/>
      <c r="S209" s="7"/>
      <c r="T209" s="7"/>
      <c r="U209" s="7"/>
      <c r="V209" s="7"/>
      <c r="W209" s="7"/>
      <c r="X209" s="7"/>
      <c r="Y209" s="7"/>
      <c r="Z209" s="7"/>
      <c r="AA209" s="7"/>
      <c r="AB209" s="7"/>
      <c r="AC209" s="7"/>
      <c r="AD209" s="7"/>
      <c r="AE209" s="7"/>
      <c r="AF209" s="7"/>
      <c r="AG209" s="7"/>
      <c r="AH209" s="7"/>
    </row>
    <row r="210" spans="1:34" ht="15.75" customHeight="1">
      <c r="A210" s="7"/>
      <c r="B210" s="7"/>
      <c r="C210" s="29"/>
      <c r="D210" s="30"/>
      <c r="E210" s="30"/>
      <c r="F210" s="30"/>
      <c r="G210" s="30"/>
      <c r="H210" s="30"/>
      <c r="I210" s="30"/>
      <c r="J210" s="30"/>
      <c r="K210" s="7"/>
      <c r="L210" s="7"/>
      <c r="M210" s="7"/>
      <c r="N210" s="7"/>
      <c r="O210" s="7"/>
      <c r="P210" s="7"/>
      <c r="Q210" s="7"/>
      <c r="R210" s="7"/>
      <c r="S210" s="7"/>
      <c r="T210" s="7"/>
      <c r="U210" s="7"/>
      <c r="V210" s="7"/>
      <c r="W210" s="7"/>
      <c r="X210" s="7"/>
      <c r="Y210" s="7"/>
      <c r="Z210" s="7"/>
      <c r="AA210" s="7"/>
      <c r="AB210" s="7"/>
      <c r="AC210" s="7"/>
      <c r="AD210" s="7"/>
      <c r="AE210" s="7"/>
      <c r="AF210" s="7"/>
      <c r="AG210" s="7"/>
      <c r="AH210" s="7"/>
    </row>
    <row r="211" spans="1:34" ht="15.75" customHeight="1">
      <c r="A211" s="7"/>
      <c r="B211" s="7"/>
      <c r="C211" s="29"/>
      <c r="D211" s="30"/>
      <c r="E211" s="30"/>
      <c r="F211" s="30"/>
      <c r="G211" s="30"/>
      <c r="H211" s="30"/>
      <c r="I211" s="30"/>
      <c r="J211" s="30"/>
      <c r="K211" s="7"/>
      <c r="L211" s="7"/>
      <c r="M211" s="7"/>
      <c r="N211" s="7"/>
      <c r="O211" s="7"/>
      <c r="P211" s="7"/>
      <c r="Q211" s="7"/>
      <c r="R211" s="7"/>
      <c r="S211" s="7"/>
      <c r="T211" s="7"/>
      <c r="U211" s="7"/>
      <c r="V211" s="7"/>
      <c r="W211" s="7"/>
      <c r="X211" s="7"/>
      <c r="Y211" s="7"/>
      <c r="Z211" s="7"/>
      <c r="AA211" s="7"/>
      <c r="AB211" s="7"/>
      <c r="AC211" s="7"/>
      <c r="AD211" s="7"/>
      <c r="AE211" s="7"/>
      <c r="AF211" s="7"/>
      <c r="AG211" s="7"/>
      <c r="AH211" s="7"/>
    </row>
    <row r="212" spans="1:34" ht="15.75" customHeight="1">
      <c r="A212" s="7"/>
      <c r="B212" s="7"/>
      <c r="C212" s="29"/>
      <c r="D212" s="30"/>
      <c r="E212" s="30"/>
      <c r="F212" s="30"/>
      <c r="G212" s="30"/>
      <c r="H212" s="30"/>
      <c r="I212" s="30"/>
      <c r="J212" s="30"/>
      <c r="K212" s="7"/>
      <c r="L212" s="7"/>
      <c r="M212" s="7"/>
      <c r="N212" s="7"/>
      <c r="O212" s="7"/>
      <c r="P212" s="7"/>
      <c r="Q212" s="7"/>
      <c r="R212" s="7"/>
      <c r="S212" s="7"/>
      <c r="T212" s="7"/>
      <c r="U212" s="7"/>
      <c r="V212" s="7"/>
      <c r="W212" s="7"/>
      <c r="X212" s="7"/>
      <c r="Y212" s="7"/>
      <c r="Z212" s="7"/>
      <c r="AA212" s="7"/>
      <c r="AB212" s="7"/>
      <c r="AC212" s="7"/>
      <c r="AD212" s="7"/>
      <c r="AE212" s="7"/>
      <c r="AF212" s="7"/>
      <c r="AG212" s="7"/>
      <c r="AH212" s="7"/>
    </row>
    <row r="213" spans="1:34" ht="15.75" customHeight="1">
      <c r="A213" s="7"/>
      <c r="B213" s="7"/>
      <c r="C213" s="29"/>
      <c r="D213" s="30"/>
      <c r="E213" s="30"/>
      <c r="F213" s="30"/>
      <c r="G213" s="30"/>
      <c r="H213" s="30"/>
      <c r="I213" s="30"/>
      <c r="J213" s="30"/>
      <c r="K213" s="7"/>
      <c r="L213" s="7"/>
      <c r="M213" s="7"/>
      <c r="N213" s="7"/>
      <c r="O213" s="7"/>
      <c r="P213" s="7"/>
      <c r="Q213" s="7"/>
      <c r="R213" s="7"/>
      <c r="S213" s="7"/>
      <c r="T213" s="7"/>
      <c r="U213" s="7"/>
      <c r="V213" s="7"/>
      <c r="W213" s="7"/>
      <c r="X213" s="7"/>
      <c r="Y213" s="7"/>
      <c r="Z213" s="7"/>
      <c r="AA213" s="7"/>
      <c r="AB213" s="7"/>
      <c r="AC213" s="7"/>
      <c r="AD213" s="7"/>
      <c r="AE213" s="7"/>
      <c r="AF213" s="7"/>
      <c r="AG213" s="7"/>
      <c r="AH213" s="7"/>
    </row>
    <row r="214" spans="1:34" ht="15.75" customHeight="1">
      <c r="A214" s="7"/>
      <c r="B214" s="7"/>
      <c r="C214" s="29"/>
      <c r="D214" s="30"/>
      <c r="E214" s="30"/>
      <c r="F214" s="30"/>
      <c r="G214" s="30"/>
      <c r="H214" s="30"/>
      <c r="I214" s="30"/>
      <c r="J214" s="30"/>
      <c r="K214" s="7"/>
      <c r="L214" s="7"/>
      <c r="M214" s="7"/>
      <c r="N214" s="7"/>
      <c r="O214" s="7"/>
      <c r="P214" s="7"/>
      <c r="Q214" s="7"/>
      <c r="R214" s="7"/>
      <c r="S214" s="7"/>
      <c r="T214" s="7"/>
      <c r="U214" s="7"/>
      <c r="V214" s="7"/>
      <c r="W214" s="7"/>
      <c r="X214" s="7"/>
      <c r="Y214" s="7"/>
      <c r="Z214" s="7"/>
      <c r="AA214" s="7"/>
      <c r="AB214" s="7"/>
      <c r="AC214" s="7"/>
      <c r="AD214" s="7"/>
      <c r="AE214" s="7"/>
      <c r="AF214" s="7"/>
      <c r="AG214" s="7"/>
      <c r="AH214" s="7"/>
    </row>
    <row r="215" spans="1:34" ht="15.75" customHeight="1">
      <c r="A215" s="7"/>
      <c r="B215" s="7"/>
      <c r="C215" s="29"/>
      <c r="D215" s="30"/>
      <c r="E215" s="30"/>
      <c r="F215" s="30"/>
      <c r="G215" s="30"/>
      <c r="H215" s="30"/>
      <c r="I215" s="30"/>
      <c r="J215" s="30"/>
      <c r="K215" s="7"/>
      <c r="L215" s="7"/>
      <c r="M215" s="7"/>
      <c r="N215" s="7"/>
      <c r="O215" s="7"/>
      <c r="P215" s="7"/>
      <c r="Q215" s="7"/>
      <c r="R215" s="7"/>
      <c r="S215" s="7"/>
      <c r="T215" s="7"/>
      <c r="U215" s="7"/>
      <c r="V215" s="7"/>
      <c r="W215" s="7"/>
      <c r="X215" s="7"/>
      <c r="Y215" s="7"/>
      <c r="Z215" s="7"/>
      <c r="AA215" s="7"/>
      <c r="AB215" s="7"/>
      <c r="AC215" s="7"/>
      <c r="AD215" s="7"/>
      <c r="AE215" s="7"/>
      <c r="AF215" s="7"/>
      <c r="AG215" s="7"/>
      <c r="AH215" s="7"/>
    </row>
    <row r="216" spans="1:34" ht="15.75" customHeight="1">
      <c r="A216" s="7"/>
      <c r="B216" s="7"/>
      <c r="C216" s="29"/>
      <c r="D216" s="30"/>
      <c r="E216" s="30"/>
      <c r="F216" s="30"/>
      <c r="G216" s="30"/>
      <c r="H216" s="30"/>
      <c r="I216" s="30"/>
      <c r="J216" s="30"/>
      <c r="K216" s="7"/>
      <c r="L216" s="7"/>
      <c r="M216" s="7"/>
      <c r="N216" s="7"/>
      <c r="O216" s="7"/>
      <c r="P216" s="7"/>
      <c r="Q216" s="7"/>
      <c r="R216" s="7"/>
      <c r="S216" s="7"/>
      <c r="T216" s="7"/>
      <c r="U216" s="7"/>
      <c r="V216" s="7"/>
      <c r="W216" s="7"/>
      <c r="X216" s="7"/>
      <c r="Y216" s="7"/>
      <c r="Z216" s="7"/>
      <c r="AA216" s="7"/>
      <c r="AB216" s="7"/>
      <c r="AC216" s="7"/>
      <c r="AD216" s="7"/>
      <c r="AE216" s="7"/>
      <c r="AF216" s="7"/>
      <c r="AG216" s="7"/>
      <c r="AH216" s="7"/>
    </row>
    <row r="217" spans="1:34" ht="15.75" customHeight="1">
      <c r="A217" s="7"/>
      <c r="B217" s="7"/>
      <c r="C217" s="29"/>
      <c r="D217" s="30"/>
      <c r="E217" s="30"/>
      <c r="F217" s="30"/>
      <c r="G217" s="30"/>
      <c r="H217" s="30"/>
      <c r="I217" s="30"/>
      <c r="J217" s="30"/>
      <c r="K217" s="7"/>
      <c r="L217" s="7"/>
      <c r="M217" s="7"/>
      <c r="N217" s="7"/>
      <c r="O217" s="7"/>
      <c r="P217" s="7"/>
      <c r="Q217" s="7"/>
      <c r="R217" s="7"/>
      <c r="S217" s="7"/>
      <c r="T217" s="7"/>
      <c r="U217" s="7"/>
      <c r="V217" s="7"/>
      <c r="W217" s="7"/>
      <c r="X217" s="7"/>
      <c r="Y217" s="7"/>
      <c r="Z217" s="7"/>
      <c r="AA217" s="7"/>
      <c r="AB217" s="7"/>
      <c r="AC217" s="7"/>
      <c r="AD217" s="7"/>
      <c r="AE217" s="7"/>
      <c r="AF217" s="7"/>
      <c r="AG217" s="7"/>
      <c r="AH217" s="7"/>
    </row>
    <row r="218" spans="1:34" ht="15.75" customHeight="1">
      <c r="A218" s="7"/>
      <c r="B218" s="7"/>
      <c r="C218" s="29"/>
      <c r="D218" s="30"/>
      <c r="E218" s="30"/>
      <c r="F218" s="30"/>
      <c r="G218" s="30"/>
      <c r="H218" s="30"/>
      <c r="I218" s="30"/>
      <c r="J218" s="30"/>
      <c r="K218" s="7"/>
      <c r="L218" s="7"/>
      <c r="M218" s="7"/>
      <c r="N218" s="7"/>
      <c r="O218" s="7"/>
      <c r="P218" s="7"/>
      <c r="Q218" s="7"/>
      <c r="R218" s="7"/>
      <c r="S218" s="7"/>
      <c r="T218" s="7"/>
      <c r="U218" s="7"/>
      <c r="V218" s="7"/>
      <c r="W218" s="7"/>
      <c r="X218" s="7"/>
      <c r="Y218" s="7"/>
      <c r="Z218" s="7"/>
      <c r="AA218" s="7"/>
      <c r="AB218" s="7"/>
      <c r="AC218" s="7"/>
      <c r="AD218" s="7"/>
      <c r="AE218" s="7"/>
      <c r="AF218" s="7"/>
      <c r="AG218" s="7"/>
      <c r="AH218" s="7"/>
    </row>
    <row r="219" spans="1:34" ht="15.75" customHeight="1">
      <c r="A219" s="7"/>
      <c r="B219" s="7"/>
      <c r="C219" s="29"/>
      <c r="D219" s="30"/>
      <c r="E219" s="30"/>
      <c r="F219" s="30"/>
      <c r="G219" s="30"/>
      <c r="H219" s="30"/>
      <c r="I219" s="30"/>
      <c r="J219" s="30"/>
      <c r="K219" s="7"/>
      <c r="L219" s="7"/>
      <c r="M219" s="7"/>
      <c r="N219" s="7"/>
      <c r="O219" s="7"/>
      <c r="P219" s="7"/>
      <c r="Q219" s="7"/>
      <c r="R219" s="7"/>
      <c r="S219" s="7"/>
      <c r="T219" s="7"/>
      <c r="U219" s="7"/>
      <c r="V219" s="7"/>
      <c r="W219" s="7"/>
      <c r="X219" s="7"/>
      <c r="Y219" s="7"/>
      <c r="Z219" s="7"/>
      <c r="AA219" s="7"/>
      <c r="AB219" s="7"/>
      <c r="AC219" s="7"/>
      <c r="AD219" s="7"/>
      <c r="AE219" s="7"/>
      <c r="AF219" s="7"/>
      <c r="AG219" s="7"/>
      <c r="AH219" s="7"/>
    </row>
    <row r="220" spans="1:34" ht="15.75" customHeight="1">
      <c r="A220" s="7"/>
      <c r="B220" s="7"/>
      <c r="C220" s="29"/>
      <c r="D220" s="30"/>
      <c r="E220" s="30"/>
      <c r="F220" s="30"/>
      <c r="G220" s="30"/>
      <c r="H220" s="30"/>
      <c r="I220" s="30"/>
      <c r="J220" s="30"/>
      <c r="K220" s="7"/>
      <c r="L220" s="7"/>
      <c r="M220" s="7"/>
      <c r="N220" s="7"/>
      <c r="O220" s="7"/>
      <c r="P220" s="7"/>
      <c r="Q220" s="7"/>
      <c r="R220" s="7"/>
      <c r="S220" s="7"/>
      <c r="T220" s="7"/>
      <c r="U220" s="7"/>
      <c r="V220" s="7"/>
      <c r="W220" s="7"/>
      <c r="X220" s="7"/>
      <c r="Y220" s="7"/>
      <c r="Z220" s="7"/>
      <c r="AA220" s="7"/>
      <c r="AB220" s="7"/>
      <c r="AC220" s="7"/>
      <c r="AD220" s="7"/>
      <c r="AE220" s="7"/>
      <c r="AF220" s="7"/>
      <c r="AG220" s="7"/>
      <c r="AH220" s="7"/>
    </row>
    <row r="221" spans="1:34" ht="15.75" customHeight="1">
      <c r="A221" s="7"/>
      <c r="B221" s="7"/>
      <c r="C221" s="29"/>
      <c r="D221" s="30"/>
      <c r="E221" s="30"/>
      <c r="F221" s="30"/>
      <c r="G221" s="30"/>
      <c r="H221" s="30"/>
      <c r="I221" s="30"/>
      <c r="J221" s="30"/>
      <c r="K221" s="7"/>
      <c r="L221" s="7"/>
      <c r="M221" s="7"/>
      <c r="N221" s="7"/>
      <c r="O221" s="7"/>
      <c r="P221" s="7"/>
      <c r="Q221" s="7"/>
      <c r="R221" s="7"/>
      <c r="S221" s="7"/>
      <c r="T221" s="7"/>
      <c r="U221" s="7"/>
      <c r="V221" s="7"/>
      <c r="W221" s="7"/>
      <c r="X221" s="7"/>
      <c r="Y221" s="7"/>
      <c r="Z221" s="7"/>
      <c r="AA221" s="7"/>
      <c r="AB221" s="7"/>
      <c r="AC221" s="7"/>
      <c r="AD221" s="7"/>
      <c r="AE221" s="7"/>
      <c r="AF221" s="7"/>
      <c r="AG221" s="7"/>
      <c r="AH221" s="7"/>
    </row>
    <row r="222" spans="1:34" ht="15.75" customHeight="1">
      <c r="A222" s="7"/>
      <c r="B222" s="7"/>
      <c r="C222" s="29"/>
      <c r="D222" s="30"/>
      <c r="E222" s="30"/>
      <c r="F222" s="30"/>
      <c r="G222" s="30"/>
      <c r="H222" s="30"/>
      <c r="I222" s="30"/>
      <c r="J222" s="30"/>
      <c r="K222" s="7"/>
      <c r="L222" s="7"/>
      <c r="M222" s="7"/>
      <c r="N222" s="7"/>
      <c r="O222" s="7"/>
      <c r="P222" s="7"/>
      <c r="Q222" s="7"/>
      <c r="R222" s="7"/>
      <c r="S222" s="7"/>
      <c r="T222" s="7"/>
      <c r="U222" s="7"/>
      <c r="V222" s="7"/>
      <c r="W222" s="7"/>
      <c r="X222" s="7"/>
      <c r="Y222" s="7"/>
      <c r="Z222" s="7"/>
      <c r="AA222" s="7"/>
      <c r="AB222" s="7"/>
      <c r="AC222" s="7"/>
      <c r="AD222" s="7"/>
      <c r="AE222" s="7"/>
      <c r="AF222" s="7"/>
      <c r="AG222" s="7"/>
      <c r="AH222" s="7"/>
    </row>
    <row r="223" spans="1:34" ht="15.75" customHeight="1">
      <c r="A223" s="7"/>
      <c r="B223" s="7"/>
      <c r="C223" s="29"/>
      <c r="D223" s="30"/>
      <c r="E223" s="30"/>
      <c r="F223" s="30"/>
      <c r="G223" s="30"/>
      <c r="H223" s="30"/>
      <c r="I223" s="30"/>
      <c r="J223" s="30"/>
      <c r="K223" s="7"/>
      <c r="L223" s="7"/>
      <c r="M223" s="7"/>
      <c r="N223" s="7"/>
      <c r="O223" s="7"/>
      <c r="P223" s="7"/>
      <c r="Q223" s="7"/>
      <c r="R223" s="7"/>
      <c r="S223" s="7"/>
      <c r="T223" s="7"/>
      <c r="U223" s="7"/>
      <c r="V223" s="7"/>
      <c r="W223" s="7"/>
      <c r="X223" s="7"/>
      <c r="Y223" s="7"/>
      <c r="Z223" s="7"/>
      <c r="AA223" s="7"/>
      <c r="AB223" s="7"/>
      <c r="AC223" s="7"/>
      <c r="AD223" s="7"/>
      <c r="AE223" s="7"/>
      <c r="AF223" s="7"/>
      <c r="AG223" s="7"/>
      <c r="AH223" s="7"/>
    </row>
    <row r="224" spans="1:34" ht="15.75" customHeight="1">
      <c r="A224" s="7"/>
      <c r="B224" s="7"/>
      <c r="C224" s="29"/>
      <c r="D224" s="30"/>
      <c r="E224" s="30"/>
      <c r="F224" s="30"/>
      <c r="G224" s="30"/>
      <c r="H224" s="30"/>
      <c r="I224" s="30"/>
      <c r="J224" s="30"/>
      <c r="K224" s="7"/>
      <c r="L224" s="7"/>
      <c r="M224" s="7"/>
      <c r="N224" s="7"/>
      <c r="O224" s="7"/>
      <c r="P224" s="7"/>
      <c r="Q224" s="7"/>
      <c r="R224" s="7"/>
      <c r="S224" s="7"/>
      <c r="T224" s="7"/>
      <c r="U224" s="7"/>
      <c r="V224" s="7"/>
      <c r="W224" s="7"/>
      <c r="X224" s="7"/>
      <c r="Y224" s="7"/>
      <c r="Z224" s="7"/>
      <c r="AA224" s="7"/>
      <c r="AB224" s="7"/>
      <c r="AC224" s="7"/>
      <c r="AD224" s="7"/>
      <c r="AE224" s="7"/>
      <c r="AF224" s="7"/>
      <c r="AG224" s="7"/>
      <c r="AH224" s="7"/>
    </row>
    <row r="225" spans="1:34" ht="15.75" customHeight="1">
      <c r="A225" s="7"/>
      <c r="B225" s="7"/>
      <c r="C225" s="29"/>
      <c r="D225" s="30"/>
      <c r="E225" s="30"/>
      <c r="F225" s="30"/>
      <c r="G225" s="30"/>
      <c r="H225" s="30"/>
      <c r="I225" s="30"/>
      <c r="J225" s="30"/>
      <c r="K225" s="7"/>
      <c r="L225" s="7"/>
      <c r="M225" s="7"/>
      <c r="N225" s="7"/>
      <c r="O225" s="7"/>
      <c r="P225" s="7"/>
      <c r="Q225" s="7"/>
      <c r="R225" s="7"/>
      <c r="S225" s="7"/>
      <c r="T225" s="7"/>
      <c r="U225" s="7"/>
      <c r="V225" s="7"/>
      <c r="W225" s="7"/>
      <c r="X225" s="7"/>
      <c r="Y225" s="7"/>
      <c r="Z225" s="7"/>
      <c r="AA225" s="7"/>
      <c r="AB225" s="7"/>
      <c r="AC225" s="7"/>
      <c r="AD225" s="7"/>
      <c r="AE225" s="7"/>
      <c r="AF225" s="7"/>
      <c r="AG225" s="7"/>
      <c r="AH225" s="7"/>
    </row>
    <row r="226" spans="1:34" ht="15.75" customHeight="1">
      <c r="A226" s="7"/>
      <c r="B226" s="7"/>
      <c r="C226" s="29"/>
      <c r="D226" s="30"/>
      <c r="E226" s="30"/>
      <c r="F226" s="30"/>
      <c r="G226" s="30"/>
      <c r="H226" s="30"/>
      <c r="I226" s="30"/>
      <c r="J226" s="30"/>
      <c r="K226" s="7"/>
      <c r="L226" s="7"/>
      <c r="M226" s="7"/>
      <c r="N226" s="7"/>
      <c r="O226" s="7"/>
      <c r="P226" s="7"/>
      <c r="Q226" s="7"/>
      <c r="R226" s="7"/>
      <c r="S226" s="7"/>
      <c r="T226" s="7"/>
      <c r="U226" s="7"/>
      <c r="V226" s="7"/>
      <c r="W226" s="7"/>
      <c r="X226" s="7"/>
      <c r="Y226" s="7"/>
      <c r="Z226" s="7"/>
      <c r="AA226" s="7"/>
      <c r="AB226" s="7"/>
      <c r="AC226" s="7"/>
      <c r="AD226" s="7"/>
      <c r="AE226" s="7"/>
      <c r="AF226" s="7"/>
      <c r="AG226" s="7"/>
      <c r="AH226" s="7"/>
    </row>
    <row r="227" spans="1:34" ht="15.75" customHeight="1">
      <c r="A227" s="7"/>
      <c r="B227" s="7"/>
      <c r="C227" s="29"/>
      <c r="D227" s="30"/>
      <c r="E227" s="30"/>
      <c r="F227" s="30"/>
      <c r="G227" s="30"/>
      <c r="H227" s="30"/>
      <c r="I227" s="30"/>
      <c r="J227" s="30"/>
      <c r="K227" s="7"/>
      <c r="L227" s="7"/>
      <c r="M227" s="7"/>
      <c r="N227" s="7"/>
      <c r="O227" s="7"/>
      <c r="P227" s="7"/>
      <c r="Q227" s="7"/>
      <c r="R227" s="7"/>
      <c r="S227" s="7"/>
      <c r="T227" s="7"/>
      <c r="U227" s="7"/>
      <c r="V227" s="7"/>
      <c r="W227" s="7"/>
      <c r="X227" s="7"/>
      <c r="Y227" s="7"/>
      <c r="Z227" s="7"/>
      <c r="AA227" s="7"/>
      <c r="AB227" s="7"/>
      <c r="AC227" s="7"/>
      <c r="AD227" s="7"/>
      <c r="AE227" s="7"/>
      <c r="AF227" s="7"/>
      <c r="AG227" s="7"/>
      <c r="AH227" s="7"/>
    </row>
    <row r="228" spans="1:34" ht="15.75" customHeight="1">
      <c r="A228" s="7"/>
      <c r="B228" s="7"/>
      <c r="C228" s="29"/>
      <c r="D228" s="30"/>
      <c r="E228" s="30"/>
      <c r="F228" s="30"/>
      <c r="G228" s="30"/>
      <c r="H228" s="30"/>
      <c r="I228" s="30"/>
      <c r="J228" s="30"/>
      <c r="K228" s="7"/>
      <c r="L228" s="7"/>
      <c r="M228" s="7"/>
      <c r="N228" s="7"/>
      <c r="O228" s="7"/>
      <c r="P228" s="7"/>
      <c r="Q228" s="7"/>
      <c r="R228" s="7"/>
      <c r="S228" s="7"/>
      <c r="T228" s="7"/>
      <c r="U228" s="7"/>
      <c r="V228" s="7"/>
      <c r="W228" s="7"/>
      <c r="X228" s="7"/>
      <c r="Y228" s="7"/>
      <c r="Z228" s="7"/>
      <c r="AA228" s="7"/>
      <c r="AB228" s="7"/>
      <c r="AC228" s="7"/>
      <c r="AD228" s="7"/>
      <c r="AE228" s="7"/>
      <c r="AF228" s="7"/>
      <c r="AG228" s="7"/>
      <c r="AH228" s="7"/>
    </row>
    <row r="229" spans="1:34" ht="15.75" customHeight="1">
      <c r="A229" s="7"/>
      <c r="B229" s="7"/>
      <c r="C229" s="29"/>
      <c r="D229" s="30"/>
      <c r="E229" s="30"/>
      <c r="F229" s="30"/>
      <c r="G229" s="30"/>
      <c r="H229" s="30"/>
      <c r="I229" s="30"/>
      <c r="J229" s="30"/>
      <c r="K229" s="7"/>
      <c r="L229" s="7"/>
      <c r="M229" s="7"/>
      <c r="N229" s="7"/>
      <c r="O229" s="7"/>
      <c r="P229" s="7"/>
      <c r="Q229" s="7"/>
      <c r="R229" s="7"/>
      <c r="S229" s="7"/>
      <c r="T229" s="7"/>
      <c r="U229" s="7"/>
      <c r="V229" s="7"/>
      <c r="W229" s="7"/>
      <c r="X229" s="7"/>
      <c r="Y229" s="7"/>
      <c r="Z229" s="7"/>
      <c r="AA229" s="7"/>
      <c r="AB229" s="7"/>
      <c r="AC229" s="7"/>
      <c r="AD229" s="7"/>
      <c r="AE229" s="7"/>
      <c r="AF229" s="7"/>
      <c r="AG229" s="7"/>
      <c r="AH229" s="7"/>
    </row>
    <row r="230" spans="1:34" ht="15.75" customHeight="1">
      <c r="A230" s="7"/>
      <c r="B230" s="7"/>
      <c r="C230" s="29"/>
      <c r="D230" s="30"/>
      <c r="E230" s="30"/>
      <c r="F230" s="30"/>
      <c r="G230" s="30"/>
      <c r="H230" s="30"/>
      <c r="I230" s="30"/>
      <c r="J230" s="30"/>
      <c r="K230" s="7"/>
      <c r="L230" s="7"/>
      <c r="M230" s="7"/>
      <c r="N230" s="7"/>
      <c r="O230" s="7"/>
      <c r="P230" s="7"/>
      <c r="Q230" s="7"/>
      <c r="R230" s="7"/>
      <c r="S230" s="7"/>
      <c r="T230" s="7"/>
      <c r="U230" s="7"/>
      <c r="V230" s="7"/>
      <c r="W230" s="7"/>
      <c r="X230" s="7"/>
      <c r="Y230" s="7"/>
      <c r="Z230" s="7"/>
      <c r="AA230" s="7"/>
      <c r="AB230" s="7"/>
      <c r="AC230" s="7"/>
      <c r="AD230" s="7"/>
      <c r="AE230" s="7"/>
      <c r="AF230" s="7"/>
      <c r="AG230" s="7"/>
      <c r="AH230" s="7"/>
    </row>
    <row r="231" spans="1:34" ht="15.75" customHeight="1">
      <c r="A231" s="7"/>
      <c r="B231" s="7"/>
      <c r="C231" s="29"/>
      <c r="D231" s="30"/>
      <c r="E231" s="30"/>
      <c r="F231" s="30"/>
      <c r="G231" s="30"/>
      <c r="H231" s="30"/>
      <c r="I231" s="30"/>
      <c r="J231" s="30"/>
      <c r="K231" s="7"/>
      <c r="L231" s="7"/>
      <c r="M231" s="7"/>
      <c r="N231" s="7"/>
      <c r="O231" s="7"/>
      <c r="P231" s="7"/>
      <c r="Q231" s="7"/>
      <c r="R231" s="7"/>
      <c r="S231" s="7"/>
      <c r="T231" s="7"/>
      <c r="U231" s="7"/>
      <c r="V231" s="7"/>
      <c r="W231" s="7"/>
      <c r="X231" s="7"/>
      <c r="Y231" s="7"/>
      <c r="Z231" s="7"/>
      <c r="AA231" s="7"/>
      <c r="AB231" s="7"/>
      <c r="AC231" s="7"/>
      <c r="AD231" s="7"/>
      <c r="AE231" s="7"/>
      <c r="AF231" s="7"/>
      <c r="AG231" s="7"/>
      <c r="AH231" s="7"/>
    </row>
    <row r="232" spans="1:34" ht="15.75" customHeight="1">
      <c r="A232" s="7"/>
      <c r="B232" s="7"/>
      <c r="C232" s="29"/>
      <c r="D232" s="30"/>
      <c r="E232" s="30"/>
      <c r="F232" s="30"/>
      <c r="G232" s="30"/>
      <c r="H232" s="30"/>
      <c r="I232" s="30"/>
      <c r="J232" s="30"/>
      <c r="K232" s="7"/>
      <c r="L232" s="7"/>
      <c r="M232" s="7"/>
      <c r="N232" s="7"/>
      <c r="O232" s="7"/>
      <c r="P232" s="7"/>
      <c r="Q232" s="7"/>
      <c r="R232" s="7"/>
      <c r="S232" s="7"/>
      <c r="T232" s="7"/>
      <c r="U232" s="7"/>
      <c r="V232" s="7"/>
      <c r="W232" s="7"/>
      <c r="X232" s="7"/>
      <c r="Y232" s="7"/>
      <c r="Z232" s="7"/>
      <c r="AA232" s="7"/>
      <c r="AB232" s="7"/>
      <c r="AC232" s="7"/>
      <c r="AD232" s="7"/>
      <c r="AE232" s="7"/>
      <c r="AF232" s="7"/>
      <c r="AG232" s="7"/>
      <c r="AH232" s="7"/>
    </row>
    <row r="233" spans="1:34" ht="15.75" customHeight="1">
      <c r="A233" s="7"/>
      <c r="B233" s="7"/>
      <c r="C233" s="29"/>
      <c r="D233" s="30"/>
      <c r="E233" s="30"/>
      <c r="F233" s="30"/>
      <c r="G233" s="30"/>
      <c r="H233" s="30"/>
      <c r="I233" s="30"/>
      <c r="J233" s="30"/>
      <c r="K233" s="7"/>
      <c r="L233" s="7"/>
      <c r="M233" s="7"/>
      <c r="N233" s="7"/>
      <c r="O233" s="7"/>
      <c r="P233" s="7"/>
      <c r="Q233" s="7"/>
      <c r="R233" s="7"/>
      <c r="S233" s="7"/>
      <c r="T233" s="7"/>
      <c r="U233" s="7"/>
      <c r="V233" s="7"/>
      <c r="W233" s="7"/>
      <c r="X233" s="7"/>
      <c r="Y233" s="7"/>
      <c r="Z233" s="7"/>
      <c r="AA233" s="7"/>
      <c r="AB233" s="7"/>
      <c r="AC233" s="7"/>
      <c r="AD233" s="7"/>
      <c r="AE233" s="7"/>
      <c r="AF233" s="7"/>
      <c r="AG233" s="7"/>
      <c r="AH233" s="7"/>
    </row>
    <row r="234" spans="1:34" ht="15.75" customHeight="1">
      <c r="A234" s="7"/>
      <c r="B234" s="7"/>
      <c r="C234" s="29"/>
      <c r="D234" s="30"/>
      <c r="E234" s="30"/>
      <c r="F234" s="30"/>
      <c r="G234" s="30"/>
      <c r="H234" s="30"/>
      <c r="I234" s="30"/>
      <c r="J234" s="30"/>
      <c r="K234" s="7"/>
      <c r="L234" s="7"/>
      <c r="M234" s="7"/>
      <c r="N234" s="7"/>
      <c r="O234" s="7"/>
      <c r="P234" s="7"/>
      <c r="Q234" s="7"/>
      <c r="R234" s="7"/>
      <c r="S234" s="7"/>
      <c r="T234" s="7"/>
      <c r="U234" s="7"/>
      <c r="V234" s="7"/>
      <c r="W234" s="7"/>
      <c r="X234" s="7"/>
      <c r="Y234" s="7"/>
      <c r="Z234" s="7"/>
      <c r="AA234" s="7"/>
      <c r="AB234" s="7"/>
      <c r="AC234" s="7"/>
      <c r="AD234" s="7"/>
      <c r="AE234" s="7"/>
      <c r="AF234" s="7"/>
      <c r="AG234" s="7"/>
      <c r="AH234" s="7"/>
    </row>
    <row r="235" spans="1:34" ht="15.75" customHeight="1">
      <c r="A235" s="7"/>
      <c r="B235" s="7"/>
      <c r="C235" s="29"/>
      <c r="D235" s="30"/>
      <c r="E235" s="30"/>
      <c r="F235" s="30"/>
      <c r="G235" s="30"/>
      <c r="H235" s="30"/>
      <c r="I235" s="30"/>
      <c r="J235" s="30"/>
      <c r="K235" s="7"/>
      <c r="L235" s="7"/>
      <c r="M235" s="7"/>
      <c r="N235" s="7"/>
      <c r="O235" s="7"/>
      <c r="P235" s="7"/>
      <c r="Q235" s="7"/>
      <c r="R235" s="7"/>
      <c r="S235" s="7"/>
      <c r="T235" s="7"/>
      <c r="U235" s="7"/>
      <c r="V235" s="7"/>
      <c r="W235" s="7"/>
      <c r="X235" s="7"/>
      <c r="Y235" s="7"/>
      <c r="Z235" s="7"/>
      <c r="AA235" s="7"/>
      <c r="AB235" s="7"/>
      <c r="AC235" s="7"/>
      <c r="AD235" s="7"/>
      <c r="AE235" s="7"/>
      <c r="AF235" s="7"/>
      <c r="AG235" s="7"/>
      <c r="AH235" s="7"/>
    </row>
    <row r="236" spans="1:34" ht="15.75" customHeight="1">
      <c r="A236" s="7"/>
      <c r="B236" s="7"/>
      <c r="C236" s="29"/>
      <c r="D236" s="30"/>
      <c r="E236" s="30"/>
      <c r="F236" s="30"/>
      <c r="G236" s="30"/>
      <c r="H236" s="30"/>
      <c r="I236" s="30"/>
      <c r="J236" s="30"/>
      <c r="K236" s="7"/>
      <c r="L236" s="7"/>
      <c r="M236" s="7"/>
      <c r="N236" s="7"/>
      <c r="O236" s="7"/>
      <c r="P236" s="7"/>
      <c r="Q236" s="7"/>
      <c r="R236" s="7"/>
      <c r="S236" s="7"/>
      <c r="T236" s="7"/>
      <c r="U236" s="7"/>
      <c r="V236" s="7"/>
      <c r="W236" s="7"/>
      <c r="X236" s="7"/>
      <c r="Y236" s="7"/>
      <c r="Z236" s="7"/>
      <c r="AA236" s="7"/>
      <c r="AB236" s="7"/>
      <c r="AC236" s="7"/>
      <c r="AD236" s="7"/>
      <c r="AE236" s="7"/>
      <c r="AF236" s="7"/>
      <c r="AG236" s="7"/>
      <c r="AH236" s="7"/>
    </row>
    <row r="237" spans="1:34" ht="15.75" customHeight="1">
      <c r="A237" s="7"/>
      <c r="B237" s="7"/>
      <c r="C237" s="29"/>
      <c r="D237" s="30"/>
      <c r="E237" s="30"/>
      <c r="F237" s="30"/>
      <c r="G237" s="30"/>
      <c r="H237" s="30"/>
      <c r="I237" s="30"/>
      <c r="J237" s="30"/>
      <c r="K237" s="7"/>
      <c r="L237" s="7"/>
      <c r="M237" s="7"/>
      <c r="N237" s="7"/>
      <c r="O237" s="7"/>
      <c r="P237" s="7"/>
      <c r="Q237" s="7"/>
      <c r="R237" s="7"/>
      <c r="S237" s="7"/>
      <c r="T237" s="7"/>
      <c r="U237" s="7"/>
      <c r="V237" s="7"/>
      <c r="W237" s="7"/>
      <c r="X237" s="7"/>
      <c r="Y237" s="7"/>
      <c r="Z237" s="7"/>
      <c r="AA237" s="7"/>
      <c r="AB237" s="7"/>
      <c r="AC237" s="7"/>
      <c r="AD237" s="7"/>
      <c r="AE237" s="7"/>
      <c r="AF237" s="7"/>
      <c r="AG237" s="7"/>
      <c r="AH237" s="7"/>
    </row>
    <row r="238" spans="1:34" ht="15.75" customHeight="1">
      <c r="A238" s="7"/>
      <c r="B238" s="7"/>
      <c r="C238" s="29"/>
      <c r="D238" s="30"/>
      <c r="E238" s="30"/>
      <c r="F238" s="30"/>
      <c r="G238" s="30"/>
      <c r="H238" s="30"/>
      <c r="I238" s="30"/>
      <c r="J238" s="30"/>
      <c r="K238" s="7"/>
      <c r="L238" s="7"/>
      <c r="M238" s="7"/>
      <c r="N238" s="7"/>
      <c r="O238" s="7"/>
      <c r="P238" s="7"/>
      <c r="Q238" s="7"/>
      <c r="R238" s="7"/>
      <c r="S238" s="7"/>
      <c r="T238" s="7"/>
      <c r="U238" s="7"/>
      <c r="V238" s="7"/>
      <c r="W238" s="7"/>
      <c r="X238" s="7"/>
      <c r="Y238" s="7"/>
      <c r="Z238" s="7"/>
      <c r="AA238" s="7"/>
      <c r="AB238" s="7"/>
      <c r="AC238" s="7"/>
      <c r="AD238" s="7"/>
      <c r="AE238" s="7"/>
      <c r="AF238" s="7"/>
      <c r="AG238" s="7"/>
      <c r="AH238" s="7"/>
    </row>
    <row r="239" spans="1:34" ht="15.75" customHeight="1">
      <c r="A239" s="7"/>
      <c r="B239" s="7"/>
      <c r="C239" s="29"/>
      <c r="D239" s="30"/>
      <c r="E239" s="30"/>
      <c r="F239" s="30"/>
      <c r="G239" s="30"/>
      <c r="H239" s="30"/>
      <c r="I239" s="30"/>
      <c r="J239" s="30"/>
      <c r="K239" s="7"/>
      <c r="L239" s="7"/>
      <c r="M239" s="7"/>
      <c r="N239" s="7"/>
      <c r="O239" s="7"/>
      <c r="P239" s="7"/>
      <c r="Q239" s="7"/>
      <c r="R239" s="7"/>
      <c r="S239" s="7"/>
      <c r="T239" s="7"/>
      <c r="U239" s="7"/>
      <c r="V239" s="7"/>
      <c r="W239" s="7"/>
      <c r="X239" s="7"/>
      <c r="Y239" s="7"/>
      <c r="Z239" s="7"/>
      <c r="AA239" s="7"/>
      <c r="AB239" s="7"/>
      <c r="AC239" s="7"/>
      <c r="AD239" s="7"/>
      <c r="AE239" s="7"/>
      <c r="AF239" s="7"/>
      <c r="AG239" s="7"/>
      <c r="AH239" s="7"/>
    </row>
    <row r="240" spans="1:34" ht="15.75" customHeight="1">
      <c r="A240" s="7"/>
      <c r="B240" s="7"/>
      <c r="C240" s="29"/>
      <c r="D240" s="30"/>
      <c r="E240" s="30"/>
      <c r="F240" s="30"/>
      <c r="G240" s="30"/>
      <c r="H240" s="30"/>
      <c r="I240" s="30"/>
      <c r="J240" s="30"/>
      <c r="K240" s="7"/>
      <c r="L240" s="7"/>
      <c r="M240" s="7"/>
      <c r="N240" s="7"/>
      <c r="O240" s="7"/>
      <c r="P240" s="7"/>
      <c r="Q240" s="7"/>
      <c r="R240" s="7"/>
      <c r="S240" s="7"/>
      <c r="T240" s="7"/>
      <c r="U240" s="7"/>
      <c r="V240" s="7"/>
      <c r="W240" s="7"/>
      <c r="X240" s="7"/>
      <c r="Y240" s="7"/>
      <c r="Z240" s="7"/>
      <c r="AA240" s="7"/>
      <c r="AB240" s="7"/>
      <c r="AC240" s="7"/>
      <c r="AD240" s="7"/>
      <c r="AE240" s="7"/>
      <c r="AF240" s="7"/>
      <c r="AG240" s="7"/>
      <c r="AH240" s="7"/>
    </row>
    <row r="241" spans="1:34" ht="15.75" customHeight="1">
      <c r="A241" s="7"/>
      <c r="B241" s="7"/>
      <c r="C241" s="29"/>
      <c r="D241" s="30"/>
      <c r="E241" s="30"/>
      <c r="F241" s="30"/>
      <c r="G241" s="30"/>
      <c r="H241" s="30"/>
      <c r="I241" s="30"/>
      <c r="J241" s="30"/>
      <c r="K241" s="7"/>
      <c r="L241" s="7"/>
      <c r="M241" s="7"/>
      <c r="N241" s="7"/>
      <c r="O241" s="7"/>
      <c r="P241" s="7"/>
      <c r="Q241" s="7"/>
      <c r="R241" s="7"/>
      <c r="S241" s="7"/>
      <c r="T241" s="7"/>
      <c r="U241" s="7"/>
      <c r="V241" s="7"/>
      <c r="W241" s="7"/>
      <c r="X241" s="7"/>
      <c r="Y241" s="7"/>
      <c r="Z241" s="7"/>
      <c r="AA241" s="7"/>
      <c r="AB241" s="7"/>
      <c r="AC241" s="7"/>
      <c r="AD241" s="7"/>
      <c r="AE241" s="7"/>
      <c r="AF241" s="7"/>
      <c r="AG241" s="7"/>
      <c r="AH241" s="7"/>
    </row>
    <row r="242" spans="1:34" ht="15.75" customHeight="1">
      <c r="A242" s="7"/>
      <c r="B242" s="7"/>
      <c r="C242" s="29"/>
      <c r="D242" s="30"/>
      <c r="E242" s="30"/>
      <c r="F242" s="30"/>
      <c r="G242" s="30"/>
      <c r="H242" s="30"/>
      <c r="I242" s="30"/>
      <c r="J242" s="30"/>
      <c r="K242" s="7"/>
      <c r="L242" s="7"/>
      <c r="M242" s="7"/>
      <c r="N242" s="7"/>
      <c r="O242" s="7"/>
      <c r="P242" s="7"/>
      <c r="Q242" s="7"/>
      <c r="R242" s="7"/>
      <c r="S242" s="7"/>
      <c r="T242" s="7"/>
      <c r="U242" s="7"/>
      <c r="V242" s="7"/>
      <c r="W242" s="7"/>
      <c r="X242" s="7"/>
      <c r="Y242" s="7"/>
      <c r="Z242" s="7"/>
      <c r="AA242" s="7"/>
      <c r="AB242" s="7"/>
      <c r="AC242" s="7"/>
      <c r="AD242" s="7"/>
      <c r="AE242" s="7"/>
      <c r="AF242" s="7"/>
      <c r="AG242" s="7"/>
      <c r="AH242" s="7"/>
    </row>
    <row r="243" spans="1:34" ht="15.75" customHeight="1">
      <c r="A243" s="7"/>
      <c r="B243" s="7"/>
      <c r="C243" s="29"/>
      <c r="D243" s="30"/>
      <c r="E243" s="30"/>
      <c r="F243" s="30"/>
      <c r="G243" s="30"/>
      <c r="H243" s="30"/>
      <c r="I243" s="30"/>
      <c r="J243" s="30"/>
      <c r="K243" s="7"/>
      <c r="L243" s="7"/>
      <c r="M243" s="7"/>
      <c r="N243" s="7"/>
      <c r="O243" s="7"/>
      <c r="P243" s="7"/>
      <c r="Q243" s="7"/>
      <c r="R243" s="7"/>
      <c r="S243" s="7"/>
      <c r="T243" s="7"/>
      <c r="U243" s="7"/>
      <c r="V243" s="7"/>
      <c r="W243" s="7"/>
      <c r="X243" s="7"/>
      <c r="Y243" s="7"/>
      <c r="Z243" s="7"/>
      <c r="AA243" s="7"/>
      <c r="AB243" s="7"/>
      <c r="AC243" s="7"/>
      <c r="AD243" s="7"/>
      <c r="AE243" s="7"/>
      <c r="AF243" s="7"/>
      <c r="AG243" s="7"/>
      <c r="AH243" s="7"/>
    </row>
    <row r="244" spans="1:34" ht="15.75" customHeight="1">
      <c r="A244" s="7"/>
      <c r="B244" s="7"/>
      <c r="C244" s="29"/>
      <c r="D244" s="30"/>
      <c r="E244" s="30"/>
      <c r="F244" s="30"/>
      <c r="G244" s="30"/>
      <c r="H244" s="30"/>
      <c r="I244" s="30"/>
      <c r="J244" s="30"/>
      <c r="K244" s="7"/>
      <c r="L244" s="7"/>
      <c r="M244" s="7"/>
      <c r="N244" s="7"/>
      <c r="O244" s="7"/>
      <c r="P244" s="7"/>
      <c r="Q244" s="7"/>
      <c r="R244" s="7"/>
      <c r="S244" s="7"/>
      <c r="T244" s="7"/>
      <c r="U244" s="7"/>
      <c r="V244" s="7"/>
      <c r="W244" s="7"/>
      <c r="X244" s="7"/>
      <c r="Y244" s="7"/>
      <c r="Z244" s="7"/>
      <c r="AA244" s="7"/>
      <c r="AB244" s="7"/>
      <c r="AC244" s="7"/>
      <c r="AD244" s="7"/>
      <c r="AE244" s="7"/>
      <c r="AF244" s="7"/>
      <c r="AG244" s="7"/>
      <c r="AH244" s="7"/>
    </row>
    <row r="245" spans="1:34" ht="15.75" customHeight="1">
      <c r="A245" s="7"/>
      <c r="B245" s="7"/>
      <c r="C245" s="29"/>
      <c r="D245" s="30"/>
      <c r="E245" s="30"/>
      <c r="F245" s="30"/>
      <c r="G245" s="30"/>
      <c r="H245" s="30"/>
      <c r="I245" s="30"/>
      <c r="J245" s="30"/>
      <c r="K245" s="7"/>
      <c r="L245" s="7"/>
      <c r="M245" s="7"/>
      <c r="N245" s="7"/>
      <c r="O245" s="7"/>
      <c r="P245" s="7"/>
      <c r="Q245" s="7"/>
      <c r="R245" s="7"/>
      <c r="S245" s="7"/>
      <c r="T245" s="7"/>
      <c r="U245" s="7"/>
      <c r="V245" s="7"/>
      <c r="W245" s="7"/>
      <c r="X245" s="7"/>
      <c r="Y245" s="7"/>
      <c r="Z245" s="7"/>
      <c r="AA245" s="7"/>
      <c r="AB245" s="7"/>
      <c r="AC245" s="7"/>
      <c r="AD245" s="7"/>
      <c r="AE245" s="7"/>
      <c r="AF245" s="7"/>
      <c r="AG245" s="7"/>
      <c r="AH245" s="7"/>
    </row>
    <row r="246" spans="1:34" ht="15.75" customHeight="1">
      <c r="A246" s="7"/>
      <c r="B246" s="7"/>
      <c r="C246" s="29"/>
      <c r="D246" s="30"/>
      <c r="E246" s="30"/>
      <c r="F246" s="30"/>
      <c r="G246" s="30"/>
      <c r="H246" s="30"/>
      <c r="I246" s="30"/>
      <c r="J246" s="30"/>
      <c r="K246" s="7"/>
      <c r="L246" s="7"/>
      <c r="M246" s="7"/>
      <c r="N246" s="7"/>
      <c r="O246" s="7"/>
      <c r="P246" s="7"/>
      <c r="Q246" s="7"/>
      <c r="R246" s="7"/>
      <c r="S246" s="7"/>
      <c r="T246" s="7"/>
      <c r="U246" s="7"/>
      <c r="V246" s="7"/>
      <c r="W246" s="7"/>
      <c r="X246" s="7"/>
      <c r="Y246" s="7"/>
      <c r="Z246" s="7"/>
      <c r="AA246" s="7"/>
      <c r="AB246" s="7"/>
      <c r="AC246" s="7"/>
      <c r="AD246" s="7"/>
      <c r="AE246" s="7"/>
      <c r="AF246" s="7"/>
      <c r="AG246" s="7"/>
      <c r="AH246" s="7"/>
    </row>
    <row r="247" spans="1:34" ht="15.75" customHeight="1">
      <c r="A247" s="7"/>
      <c r="B247" s="7"/>
      <c r="C247" s="29"/>
      <c r="D247" s="30"/>
      <c r="E247" s="30"/>
      <c r="F247" s="30"/>
      <c r="G247" s="30"/>
      <c r="H247" s="30"/>
      <c r="I247" s="30"/>
      <c r="J247" s="30"/>
      <c r="K247" s="7"/>
      <c r="L247" s="7"/>
      <c r="M247" s="7"/>
      <c r="N247" s="7"/>
      <c r="O247" s="7"/>
      <c r="P247" s="7"/>
      <c r="Q247" s="7"/>
      <c r="R247" s="7"/>
      <c r="S247" s="7"/>
      <c r="T247" s="7"/>
      <c r="U247" s="7"/>
      <c r="V247" s="7"/>
      <c r="W247" s="7"/>
      <c r="X247" s="7"/>
      <c r="Y247" s="7"/>
      <c r="Z247" s="7"/>
      <c r="AA247" s="7"/>
      <c r="AB247" s="7"/>
      <c r="AC247" s="7"/>
      <c r="AD247" s="7"/>
      <c r="AE247" s="7"/>
      <c r="AF247" s="7"/>
      <c r="AG247" s="7"/>
      <c r="AH247" s="7"/>
    </row>
    <row r="248" spans="1:34" ht="15.75" customHeight="1">
      <c r="A248" s="7"/>
      <c r="B248" s="7"/>
      <c r="C248" s="29"/>
      <c r="D248" s="30"/>
      <c r="E248" s="30"/>
      <c r="F248" s="30"/>
      <c r="G248" s="30"/>
      <c r="H248" s="30"/>
      <c r="I248" s="30"/>
      <c r="J248" s="30"/>
      <c r="K248" s="7"/>
      <c r="L248" s="7"/>
      <c r="M248" s="7"/>
      <c r="N248" s="7"/>
      <c r="O248" s="7"/>
      <c r="P248" s="7"/>
      <c r="Q248" s="7"/>
      <c r="R248" s="7"/>
      <c r="S248" s="7"/>
      <c r="T248" s="7"/>
      <c r="U248" s="7"/>
      <c r="V248" s="7"/>
      <c r="W248" s="7"/>
      <c r="X248" s="7"/>
      <c r="Y248" s="7"/>
      <c r="Z248" s="7"/>
      <c r="AA248" s="7"/>
      <c r="AB248" s="7"/>
      <c r="AC248" s="7"/>
      <c r="AD248" s="7"/>
      <c r="AE248" s="7"/>
      <c r="AF248" s="7"/>
      <c r="AG248" s="7"/>
      <c r="AH248" s="7"/>
    </row>
    <row r="249" spans="1:34" ht="15.75" customHeight="1">
      <c r="A249" s="7"/>
      <c r="B249" s="7"/>
      <c r="C249" s="29"/>
      <c r="D249" s="30"/>
      <c r="E249" s="30"/>
      <c r="F249" s="30"/>
      <c r="G249" s="30"/>
      <c r="H249" s="30"/>
      <c r="I249" s="30"/>
      <c r="J249" s="30"/>
      <c r="K249" s="7"/>
      <c r="L249" s="7"/>
      <c r="M249" s="7"/>
      <c r="N249" s="7"/>
      <c r="O249" s="7"/>
      <c r="P249" s="7"/>
      <c r="Q249" s="7"/>
      <c r="R249" s="7"/>
      <c r="S249" s="7"/>
      <c r="T249" s="7"/>
      <c r="U249" s="7"/>
      <c r="V249" s="7"/>
      <c r="W249" s="7"/>
      <c r="X249" s="7"/>
      <c r="Y249" s="7"/>
      <c r="Z249" s="7"/>
      <c r="AA249" s="7"/>
      <c r="AB249" s="7"/>
      <c r="AC249" s="7"/>
      <c r="AD249" s="7"/>
      <c r="AE249" s="7"/>
      <c r="AF249" s="7"/>
      <c r="AG249" s="7"/>
      <c r="AH249" s="7"/>
    </row>
    <row r="250" spans="1:34" ht="15.75" customHeight="1">
      <c r="A250" s="7"/>
      <c r="B250" s="7"/>
      <c r="C250" s="29"/>
      <c r="D250" s="30"/>
      <c r="E250" s="30"/>
      <c r="F250" s="30"/>
      <c r="G250" s="30"/>
      <c r="H250" s="30"/>
      <c r="I250" s="30"/>
      <c r="J250" s="30"/>
      <c r="K250" s="7"/>
      <c r="L250" s="7"/>
      <c r="M250" s="7"/>
      <c r="N250" s="7"/>
      <c r="O250" s="7"/>
      <c r="P250" s="7"/>
      <c r="Q250" s="7"/>
      <c r="R250" s="7"/>
      <c r="S250" s="7"/>
      <c r="T250" s="7"/>
      <c r="U250" s="7"/>
      <c r="V250" s="7"/>
      <c r="W250" s="7"/>
      <c r="X250" s="7"/>
      <c r="Y250" s="7"/>
      <c r="Z250" s="7"/>
      <c r="AA250" s="7"/>
      <c r="AB250" s="7"/>
      <c r="AC250" s="7"/>
      <c r="AD250" s="7"/>
      <c r="AE250" s="7"/>
      <c r="AF250" s="7"/>
      <c r="AG250" s="7"/>
      <c r="AH250" s="7"/>
    </row>
    <row r="251" spans="1:34" ht="15.75" customHeight="1">
      <c r="A251" s="7"/>
      <c r="B251" s="7"/>
      <c r="C251" s="29"/>
      <c r="D251" s="30"/>
      <c r="E251" s="30"/>
      <c r="F251" s="30"/>
      <c r="G251" s="30"/>
      <c r="H251" s="30"/>
      <c r="I251" s="30"/>
      <c r="J251" s="30"/>
      <c r="K251" s="7"/>
      <c r="L251" s="7"/>
      <c r="M251" s="7"/>
      <c r="N251" s="7"/>
      <c r="O251" s="7"/>
      <c r="P251" s="7"/>
      <c r="Q251" s="7"/>
      <c r="R251" s="7"/>
      <c r="S251" s="7"/>
      <c r="T251" s="7"/>
      <c r="U251" s="7"/>
      <c r="V251" s="7"/>
      <c r="W251" s="7"/>
      <c r="X251" s="7"/>
      <c r="Y251" s="7"/>
      <c r="Z251" s="7"/>
      <c r="AA251" s="7"/>
      <c r="AB251" s="7"/>
      <c r="AC251" s="7"/>
      <c r="AD251" s="7"/>
      <c r="AE251" s="7"/>
      <c r="AF251" s="7"/>
      <c r="AG251" s="7"/>
      <c r="AH251" s="7"/>
    </row>
    <row r="252" spans="1:34" ht="15.75" customHeight="1">
      <c r="A252" s="7"/>
      <c r="B252" s="7"/>
      <c r="C252" s="29"/>
      <c r="D252" s="30"/>
      <c r="E252" s="30"/>
      <c r="F252" s="30"/>
      <c r="G252" s="30"/>
      <c r="H252" s="30"/>
      <c r="I252" s="30"/>
      <c r="J252" s="30"/>
      <c r="K252" s="7"/>
      <c r="L252" s="7"/>
      <c r="M252" s="7"/>
      <c r="N252" s="7"/>
      <c r="O252" s="7"/>
      <c r="P252" s="7"/>
      <c r="Q252" s="7"/>
      <c r="R252" s="7"/>
      <c r="S252" s="7"/>
      <c r="T252" s="7"/>
      <c r="U252" s="7"/>
      <c r="V252" s="7"/>
      <c r="W252" s="7"/>
      <c r="X252" s="7"/>
      <c r="Y252" s="7"/>
      <c r="Z252" s="7"/>
      <c r="AA252" s="7"/>
      <c r="AB252" s="7"/>
      <c r="AC252" s="7"/>
      <c r="AD252" s="7"/>
      <c r="AE252" s="7"/>
      <c r="AF252" s="7"/>
      <c r="AG252" s="7"/>
      <c r="AH252" s="7"/>
    </row>
    <row r="253" spans="1:34" ht="15.75" customHeight="1">
      <c r="A253" s="7"/>
      <c r="B253" s="7"/>
      <c r="C253" s="29"/>
      <c r="D253" s="30"/>
      <c r="E253" s="30"/>
      <c r="F253" s="30"/>
      <c r="G253" s="30"/>
      <c r="H253" s="30"/>
      <c r="I253" s="30"/>
      <c r="J253" s="30"/>
      <c r="K253" s="7"/>
      <c r="L253" s="7"/>
      <c r="M253" s="7"/>
      <c r="N253" s="7"/>
      <c r="O253" s="7"/>
      <c r="P253" s="7"/>
      <c r="Q253" s="7"/>
      <c r="R253" s="7"/>
      <c r="S253" s="7"/>
      <c r="T253" s="7"/>
      <c r="U253" s="7"/>
      <c r="V253" s="7"/>
      <c r="W253" s="7"/>
      <c r="X253" s="7"/>
      <c r="Y253" s="7"/>
      <c r="Z253" s="7"/>
      <c r="AA253" s="7"/>
      <c r="AB253" s="7"/>
      <c r="AC253" s="7"/>
      <c r="AD253" s="7"/>
      <c r="AE253" s="7"/>
      <c r="AF253" s="7"/>
      <c r="AG253" s="7"/>
      <c r="AH253" s="7"/>
    </row>
    <row r="254" spans="1:34" ht="15.75" customHeight="1">
      <c r="A254" s="7"/>
      <c r="B254" s="7"/>
      <c r="C254" s="29"/>
      <c r="D254" s="30"/>
      <c r="E254" s="30"/>
      <c r="F254" s="30"/>
      <c r="G254" s="30"/>
      <c r="H254" s="30"/>
      <c r="I254" s="30"/>
      <c r="J254" s="30"/>
      <c r="K254" s="7"/>
      <c r="L254" s="7"/>
      <c r="M254" s="7"/>
      <c r="N254" s="7"/>
      <c r="O254" s="7"/>
      <c r="P254" s="7"/>
      <c r="Q254" s="7"/>
      <c r="R254" s="7"/>
      <c r="S254" s="7"/>
      <c r="T254" s="7"/>
      <c r="U254" s="7"/>
      <c r="V254" s="7"/>
      <c r="W254" s="7"/>
      <c r="X254" s="7"/>
      <c r="Y254" s="7"/>
      <c r="Z254" s="7"/>
      <c r="AA254" s="7"/>
      <c r="AB254" s="7"/>
      <c r="AC254" s="7"/>
      <c r="AD254" s="7"/>
      <c r="AE254" s="7"/>
      <c r="AF254" s="7"/>
      <c r="AG254" s="7"/>
      <c r="AH254" s="7"/>
    </row>
    <row r="255" spans="1:34" ht="15.75" customHeight="1">
      <c r="A255" s="7"/>
      <c r="B255" s="7"/>
      <c r="C255" s="29"/>
      <c r="D255" s="30"/>
      <c r="E255" s="30"/>
      <c r="F255" s="30"/>
      <c r="G255" s="30"/>
      <c r="H255" s="30"/>
      <c r="I255" s="30"/>
      <c r="J255" s="30"/>
      <c r="K255" s="7"/>
      <c r="L255" s="7"/>
      <c r="M255" s="7"/>
      <c r="N255" s="7"/>
      <c r="O255" s="7"/>
      <c r="P255" s="7"/>
      <c r="Q255" s="7"/>
      <c r="R255" s="7"/>
      <c r="S255" s="7"/>
      <c r="T255" s="7"/>
      <c r="U255" s="7"/>
      <c r="V255" s="7"/>
      <c r="W255" s="7"/>
      <c r="X255" s="7"/>
      <c r="Y255" s="7"/>
      <c r="Z255" s="7"/>
      <c r="AA255" s="7"/>
      <c r="AB255" s="7"/>
      <c r="AC255" s="7"/>
      <c r="AD255" s="7"/>
      <c r="AE255" s="7"/>
      <c r="AF255" s="7"/>
      <c r="AG255" s="7"/>
      <c r="AH255" s="7"/>
    </row>
    <row r="256" spans="1:34" ht="15.75" customHeight="1">
      <c r="A256" s="7"/>
      <c r="B256" s="7"/>
      <c r="C256" s="29"/>
      <c r="D256" s="30"/>
      <c r="E256" s="30"/>
      <c r="F256" s="30"/>
      <c r="G256" s="30"/>
      <c r="H256" s="30"/>
      <c r="I256" s="30"/>
      <c r="J256" s="30"/>
      <c r="K256" s="7"/>
      <c r="L256" s="7"/>
      <c r="M256" s="7"/>
      <c r="N256" s="7"/>
      <c r="O256" s="7"/>
      <c r="P256" s="7"/>
      <c r="Q256" s="7"/>
      <c r="R256" s="7"/>
      <c r="S256" s="7"/>
      <c r="T256" s="7"/>
      <c r="U256" s="7"/>
      <c r="V256" s="7"/>
      <c r="W256" s="7"/>
      <c r="X256" s="7"/>
      <c r="Y256" s="7"/>
      <c r="Z256" s="7"/>
      <c r="AA256" s="7"/>
      <c r="AB256" s="7"/>
      <c r="AC256" s="7"/>
      <c r="AD256" s="7"/>
      <c r="AE256" s="7"/>
      <c r="AF256" s="7"/>
      <c r="AG256" s="7"/>
      <c r="AH256" s="7"/>
    </row>
    <row r="257" spans="1:34" ht="15.75" customHeight="1">
      <c r="A257" s="7"/>
      <c r="B257" s="7"/>
      <c r="C257" s="29"/>
      <c r="D257" s="30"/>
      <c r="E257" s="30"/>
      <c r="F257" s="30"/>
      <c r="G257" s="30"/>
      <c r="H257" s="30"/>
      <c r="I257" s="30"/>
      <c r="J257" s="30"/>
      <c r="K257" s="7"/>
      <c r="L257" s="7"/>
      <c r="M257" s="7"/>
      <c r="N257" s="7"/>
      <c r="O257" s="7"/>
      <c r="P257" s="7"/>
      <c r="Q257" s="7"/>
      <c r="R257" s="7"/>
      <c r="S257" s="7"/>
      <c r="T257" s="7"/>
      <c r="U257" s="7"/>
      <c r="V257" s="7"/>
      <c r="W257" s="7"/>
      <c r="X257" s="7"/>
      <c r="Y257" s="7"/>
      <c r="Z257" s="7"/>
      <c r="AA257" s="7"/>
      <c r="AB257" s="7"/>
      <c r="AC257" s="7"/>
      <c r="AD257" s="7"/>
      <c r="AE257" s="7"/>
      <c r="AF257" s="7"/>
      <c r="AG257" s="7"/>
      <c r="AH257" s="7"/>
    </row>
    <row r="258" spans="1:34" ht="15.75" customHeight="1">
      <c r="A258" s="7"/>
      <c r="B258" s="7"/>
      <c r="C258" s="29"/>
      <c r="D258" s="30"/>
      <c r="E258" s="30"/>
      <c r="F258" s="30"/>
      <c r="G258" s="30"/>
      <c r="H258" s="30"/>
      <c r="I258" s="30"/>
      <c r="J258" s="30"/>
      <c r="K258" s="7"/>
      <c r="L258" s="7"/>
      <c r="M258" s="7"/>
      <c r="N258" s="7"/>
      <c r="O258" s="7"/>
      <c r="P258" s="7"/>
      <c r="Q258" s="7"/>
      <c r="R258" s="7"/>
      <c r="S258" s="7"/>
      <c r="T258" s="7"/>
      <c r="U258" s="7"/>
      <c r="V258" s="7"/>
      <c r="W258" s="7"/>
      <c r="X258" s="7"/>
      <c r="Y258" s="7"/>
      <c r="Z258" s="7"/>
      <c r="AA258" s="7"/>
      <c r="AB258" s="7"/>
      <c r="AC258" s="7"/>
      <c r="AD258" s="7"/>
      <c r="AE258" s="7"/>
      <c r="AF258" s="7"/>
      <c r="AG258" s="7"/>
      <c r="AH258" s="7"/>
    </row>
    <row r="259" spans="1:34" ht="15.75" customHeight="1">
      <c r="A259" s="7"/>
      <c r="B259" s="7"/>
      <c r="C259" s="29"/>
      <c r="D259" s="30"/>
      <c r="E259" s="30"/>
      <c r="F259" s="30"/>
      <c r="G259" s="30"/>
      <c r="H259" s="30"/>
      <c r="I259" s="30"/>
      <c r="J259" s="30"/>
      <c r="K259" s="7"/>
      <c r="L259" s="7"/>
      <c r="M259" s="7"/>
      <c r="N259" s="7"/>
      <c r="O259" s="7"/>
      <c r="P259" s="7"/>
      <c r="Q259" s="7"/>
      <c r="R259" s="7"/>
      <c r="S259" s="7"/>
      <c r="T259" s="7"/>
      <c r="U259" s="7"/>
      <c r="V259" s="7"/>
      <c r="W259" s="7"/>
      <c r="X259" s="7"/>
      <c r="Y259" s="7"/>
      <c r="Z259" s="7"/>
      <c r="AA259" s="7"/>
      <c r="AB259" s="7"/>
      <c r="AC259" s="7"/>
      <c r="AD259" s="7"/>
      <c r="AE259" s="7"/>
      <c r="AF259" s="7"/>
      <c r="AG259" s="7"/>
      <c r="AH259" s="7"/>
    </row>
    <row r="260" spans="1:34" ht="15.75" customHeight="1">
      <c r="A260" s="7"/>
      <c r="B260" s="7"/>
      <c r="C260" s="29"/>
      <c r="D260" s="30"/>
      <c r="E260" s="30"/>
      <c r="F260" s="30"/>
      <c r="G260" s="30"/>
      <c r="H260" s="30"/>
      <c r="I260" s="30"/>
      <c r="J260" s="30"/>
      <c r="K260" s="7"/>
      <c r="L260" s="7"/>
      <c r="M260" s="7"/>
      <c r="N260" s="7"/>
      <c r="O260" s="7"/>
      <c r="P260" s="7"/>
      <c r="Q260" s="7"/>
      <c r="R260" s="7"/>
      <c r="S260" s="7"/>
      <c r="T260" s="7"/>
      <c r="U260" s="7"/>
      <c r="V260" s="7"/>
      <c r="W260" s="7"/>
      <c r="X260" s="7"/>
      <c r="Y260" s="7"/>
      <c r="Z260" s="7"/>
      <c r="AA260" s="7"/>
      <c r="AB260" s="7"/>
      <c r="AC260" s="7"/>
      <c r="AD260" s="7"/>
      <c r="AE260" s="7"/>
      <c r="AF260" s="7"/>
      <c r="AG260" s="7"/>
      <c r="AH260" s="7"/>
    </row>
    <row r="261" spans="1:34" ht="15.75" customHeight="1">
      <c r="A261" s="7"/>
      <c r="B261" s="7"/>
      <c r="C261" s="29"/>
      <c r="D261" s="30"/>
      <c r="E261" s="30"/>
      <c r="F261" s="30"/>
      <c r="G261" s="30"/>
      <c r="H261" s="30"/>
      <c r="I261" s="30"/>
      <c r="J261" s="30"/>
      <c r="K261" s="7"/>
      <c r="L261" s="7"/>
      <c r="M261" s="7"/>
      <c r="N261" s="7"/>
      <c r="O261" s="7"/>
      <c r="P261" s="7"/>
      <c r="Q261" s="7"/>
      <c r="R261" s="7"/>
      <c r="S261" s="7"/>
      <c r="T261" s="7"/>
      <c r="U261" s="7"/>
      <c r="V261" s="7"/>
      <c r="W261" s="7"/>
      <c r="X261" s="7"/>
      <c r="Y261" s="7"/>
      <c r="Z261" s="7"/>
      <c r="AA261" s="7"/>
      <c r="AB261" s="7"/>
      <c r="AC261" s="7"/>
      <c r="AD261" s="7"/>
      <c r="AE261" s="7"/>
      <c r="AF261" s="7"/>
      <c r="AG261" s="7"/>
      <c r="AH261" s="7"/>
    </row>
    <row r="262" spans="1:34" ht="15.75" customHeight="1">
      <c r="A262" s="7"/>
      <c r="B262" s="7"/>
      <c r="C262" s="29"/>
      <c r="D262" s="30"/>
      <c r="E262" s="30"/>
      <c r="F262" s="30"/>
      <c r="G262" s="30"/>
      <c r="H262" s="30"/>
      <c r="I262" s="30"/>
      <c r="J262" s="30"/>
      <c r="K262" s="7"/>
      <c r="L262" s="7"/>
      <c r="M262" s="7"/>
      <c r="N262" s="7"/>
      <c r="O262" s="7"/>
      <c r="P262" s="7"/>
      <c r="Q262" s="7"/>
      <c r="R262" s="7"/>
      <c r="S262" s="7"/>
      <c r="T262" s="7"/>
      <c r="U262" s="7"/>
      <c r="V262" s="7"/>
      <c r="W262" s="7"/>
      <c r="X262" s="7"/>
      <c r="Y262" s="7"/>
      <c r="Z262" s="7"/>
      <c r="AA262" s="7"/>
      <c r="AB262" s="7"/>
      <c r="AC262" s="7"/>
      <c r="AD262" s="7"/>
      <c r="AE262" s="7"/>
      <c r="AF262" s="7"/>
      <c r="AG262" s="7"/>
      <c r="AH262" s="7"/>
    </row>
    <row r="263" spans="1:34" ht="15.75" customHeight="1">
      <c r="A263" s="7"/>
      <c r="B263" s="7"/>
      <c r="C263" s="29"/>
      <c r="D263" s="30"/>
      <c r="E263" s="30"/>
      <c r="F263" s="30"/>
      <c r="G263" s="30"/>
      <c r="H263" s="30"/>
      <c r="I263" s="30"/>
      <c r="J263" s="30"/>
      <c r="K263" s="7"/>
      <c r="L263" s="7"/>
      <c r="M263" s="7"/>
      <c r="N263" s="7"/>
      <c r="O263" s="7"/>
      <c r="P263" s="7"/>
      <c r="Q263" s="7"/>
      <c r="R263" s="7"/>
      <c r="S263" s="7"/>
      <c r="T263" s="7"/>
      <c r="U263" s="7"/>
      <c r="V263" s="7"/>
      <c r="W263" s="7"/>
      <c r="X263" s="7"/>
      <c r="Y263" s="7"/>
      <c r="Z263" s="7"/>
      <c r="AA263" s="7"/>
      <c r="AB263" s="7"/>
      <c r="AC263" s="7"/>
      <c r="AD263" s="7"/>
      <c r="AE263" s="7"/>
      <c r="AF263" s="7"/>
      <c r="AG263" s="7"/>
      <c r="AH263" s="7"/>
    </row>
    <row r="264" spans="1:34" ht="15.75" customHeight="1">
      <c r="A264" s="7"/>
      <c r="B264" s="7"/>
      <c r="C264" s="29"/>
      <c r="D264" s="30"/>
      <c r="E264" s="30"/>
      <c r="F264" s="30"/>
      <c r="G264" s="30"/>
      <c r="H264" s="30"/>
      <c r="I264" s="30"/>
      <c r="J264" s="30"/>
      <c r="K264" s="7"/>
      <c r="L264" s="7"/>
      <c r="M264" s="7"/>
      <c r="N264" s="7"/>
      <c r="O264" s="7"/>
      <c r="P264" s="7"/>
      <c r="Q264" s="7"/>
      <c r="R264" s="7"/>
      <c r="S264" s="7"/>
      <c r="T264" s="7"/>
      <c r="U264" s="7"/>
      <c r="V264" s="7"/>
      <c r="W264" s="7"/>
      <c r="X264" s="7"/>
      <c r="Y264" s="7"/>
      <c r="Z264" s="7"/>
      <c r="AA264" s="7"/>
      <c r="AB264" s="7"/>
      <c r="AC264" s="7"/>
      <c r="AD264" s="7"/>
      <c r="AE264" s="7"/>
      <c r="AF264" s="7"/>
      <c r="AG264" s="7"/>
      <c r="AH264" s="7"/>
    </row>
    <row r="265" spans="1:34" ht="15.75" customHeight="1">
      <c r="A265" s="7"/>
      <c r="B265" s="7"/>
      <c r="C265" s="29"/>
      <c r="D265" s="30"/>
      <c r="E265" s="30"/>
      <c r="F265" s="30"/>
      <c r="G265" s="30"/>
      <c r="H265" s="30"/>
      <c r="I265" s="30"/>
      <c r="J265" s="30"/>
      <c r="K265" s="7"/>
      <c r="L265" s="7"/>
      <c r="M265" s="7"/>
      <c r="N265" s="7"/>
      <c r="O265" s="7"/>
      <c r="P265" s="7"/>
      <c r="Q265" s="7"/>
      <c r="R265" s="7"/>
      <c r="S265" s="7"/>
      <c r="T265" s="7"/>
      <c r="U265" s="7"/>
      <c r="V265" s="7"/>
      <c r="W265" s="7"/>
      <c r="X265" s="7"/>
      <c r="Y265" s="7"/>
      <c r="Z265" s="7"/>
      <c r="AA265" s="7"/>
      <c r="AB265" s="7"/>
      <c r="AC265" s="7"/>
      <c r="AD265" s="7"/>
      <c r="AE265" s="7"/>
      <c r="AF265" s="7"/>
      <c r="AG265" s="7"/>
      <c r="AH265" s="7"/>
    </row>
    <row r="266" spans="1:34" ht="15.75" customHeight="1">
      <c r="A266" s="7"/>
      <c r="B266" s="7"/>
      <c r="C266" s="29"/>
      <c r="D266" s="30"/>
      <c r="E266" s="30"/>
      <c r="F266" s="30"/>
      <c r="G266" s="30"/>
      <c r="H266" s="30"/>
      <c r="I266" s="30"/>
      <c r="J266" s="30"/>
      <c r="K266" s="7"/>
      <c r="L266" s="7"/>
      <c r="M266" s="7"/>
      <c r="N266" s="7"/>
      <c r="O266" s="7"/>
      <c r="P266" s="7"/>
      <c r="Q266" s="7"/>
      <c r="R266" s="7"/>
      <c r="S266" s="7"/>
      <c r="T266" s="7"/>
      <c r="U266" s="7"/>
      <c r="V266" s="7"/>
      <c r="W266" s="7"/>
      <c r="X266" s="7"/>
      <c r="Y266" s="7"/>
      <c r="Z266" s="7"/>
      <c r="AA266" s="7"/>
      <c r="AB266" s="7"/>
      <c r="AC266" s="7"/>
      <c r="AD266" s="7"/>
      <c r="AE266" s="7"/>
      <c r="AF266" s="7"/>
      <c r="AG266" s="7"/>
      <c r="AH266" s="7"/>
    </row>
    <row r="267" spans="1:34" ht="15.75" customHeight="1">
      <c r="A267" s="7"/>
      <c r="B267" s="7"/>
      <c r="C267" s="29"/>
      <c r="D267" s="30"/>
      <c r="E267" s="30"/>
      <c r="F267" s="30"/>
      <c r="G267" s="30"/>
      <c r="H267" s="30"/>
      <c r="I267" s="30"/>
      <c r="J267" s="30"/>
      <c r="K267" s="7"/>
      <c r="L267" s="7"/>
      <c r="M267" s="7"/>
      <c r="N267" s="7"/>
      <c r="O267" s="7"/>
      <c r="P267" s="7"/>
      <c r="Q267" s="7"/>
      <c r="R267" s="7"/>
      <c r="S267" s="7"/>
      <c r="T267" s="7"/>
      <c r="U267" s="7"/>
      <c r="V267" s="7"/>
      <c r="W267" s="7"/>
      <c r="X267" s="7"/>
      <c r="Y267" s="7"/>
      <c r="Z267" s="7"/>
      <c r="AA267" s="7"/>
      <c r="AB267" s="7"/>
      <c r="AC267" s="7"/>
      <c r="AD267" s="7"/>
      <c r="AE267" s="7"/>
      <c r="AF267" s="7"/>
      <c r="AG267" s="7"/>
      <c r="AH267" s="7"/>
    </row>
    <row r="268" spans="1:34" ht="15.75" customHeight="1">
      <c r="A268" s="7"/>
      <c r="B268" s="7"/>
      <c r="C268" s="29"/>
      <c r="D268" s="30"/>
      <c r="E268" s="30"/>
      <c r="F268" s="30"/>
      <c r="G268" s="30"/>
      <c r="H268" s="30"/>
      <c r="I268" s="30"/>
      <c r="J268" s="30"/>
      <c r="K268" s="7"/>
      <c r="L268" s="7"/>
      <c r="M268" s="7"/>
      <c r="N268" s="7"/>
      <c r="O268" s="7"/>
      <c r="P268" s="7"/>
      <c r="Q268" s="7"/>
      <c r="R268" s="7"/>
      <c r="S268" s="7"/>
      <c r="T268" s="7"/>
      <c r="U268" s="7"/>
      <c r="V268" s="7"/>
      <c r="W268" s="7"/>
      <c r="X268" s="7"/>
      <c r="Y268" s="7"/>
      <c r="Z268" s="7"/>
      <c r="AA268" s="7"/>
      <c r="AB268" s="7"/>
      <c r="AC268" s="7"/>
      <c r="AD268" s="7"/>
      <c r="AE268" s="7"/>
      <c r="AF268" s="7"/>
      <c r="AG268" s="7"/>
      <c r="AH268" s="7"/>
    </row>
    <row r="269" spans="1:34" ht="15.75" customHeight="1">
      <c r="A269" s="7"/>
      <c r="B269" s="7"/>
      <c r="C269" s="29"/>
      <c r="D269" s="30"/>
      <c r="E269" s="30"/>
      <c r="F269" s="30"/>
      <c r="G269" s="30"/>
      <c r="H269" s="30"/>
      <c r="I269" s="30"/>
      <c r="J269" s="30"/>
      <c r="K269" s="7"/>
      <c r="L269" s="7"/>
      <c r="M269" s="7"/>
      <c r="N269" s="7"/>
      <c r="O269" s="7"/>
      <c r="P269" s="7"/>
      <c r="Q269" s="7"/>
      <c r="R269" s="7"/>
      <c r="S269" s="7"/>
      <c r="T269" s="7"/>
      <c r="U269" s="7"/>
      <c r="V269" s="7"/>
      <c r="W269" s="7"/>
      <c r="X269" s="7"/>
      <c r="Y269" s="7"/>
      <c r="Z269" s="7"/>
      <c r="AA269" s="7"/>
      <c r="AB269" s="7"/>
      <c r="AC269" s="7"/>
      <c r="AD269" s="7"/>
      <c r="AE269" s="7"/>
      <c r="AF269" s="7"/>
      <c r="AG269" s="7"/>
      <c r="AH269" s="7"/>
    </row>
    <row r="270" spans="1:34" ht="15.75" customHeight="1">
      <c r="A270" s="7"/>
      <c r="B270" s="7"/>
      <c r="C270" s="29"/>
      <c r="D270" s="30"/>
      <c r="E270" s="30"/>
      <c r="F270" s="30"/>
      <c r="G270" s="30"/>
      <c r="H270" s="30"/>
      <c r="I270" s="30"/>
      <c r="J270" s="30"/>
      <c r="K270" s="7"/>
      <c r="L270" s="7"/>
      <c r="M270" s="7"/>
      <c r="N270" s="7"/>
      <c r="O270" s="7"/>
      <c r="P270" s="7"/>
      <c r="Q270" s="7"/>
      <c r="R270" s="7"/>
      <c r="S270" s="7"/>
      <c r="T270" s="7"/>
      <c r="U270" s="7"/>
      <c r="V270" s="7"/>
      <c r="W270" s="7"/>
      <c r="X270" s="7"/>
      <c r="Y270" s="7"/>
      <c r="Z270" s="7"/>
      <c r="AA270" s="7"/>
      <c r="AB270" s="7"/>
      <c r="AC270" s="7"/>
      <c r="AD270" s="7"/>
      <c r="AE270" s="7"/>
      <c r="AF270" s="7"/>
      <c r="AG270" s="7"/>
      <c r="AH270" s="7"/>
    </row>
    <row r="271" spans="1:34" ht="15.75" customHeight="1">
      <c r="A271" s="7"/>
      <c r="B271" s="7"/>
      <c r="C271" s="29"/>
      <c r="D271" s="30"/>
      <c r="E271" s="30"/>
      <c r="F271" s="30"/>
      <c r="G271" s="30"/>
      <c r="H271" s="30"/>
      <c r="I271" s="30"/>
      <c r="J271" s="30"/>
      <c r="K271" s="7"/>
      <c r="L271" s="7"/>
      <c r="M271" s="7"/>
      <c r="N271" s="7"/>
      <c r="O271" s="7"/>
      <c r="P271" s="7"/>
      <c r="Q271" s="7"/>
      <c r="R271" s="7"/>
      <c r="S271" s="7"/>
      <c r="T271" s="7"/>
      <c r="U271" s="7"/>
      <c r="V271" s="7"/>
      <c r="W271" s="7"/>
      <c r="X271" s="7"/>
      <c r="Y271" s="7"/>
      <c r="Z271" s="7"/>
      <c r="AA271" s="7"/>
      <c r="AB271" s="7"/>
      <c r="AC271" s="7"/>
      <c r="AD271" s="7"/>
      <c r="AE271" s="7"/>
      <c r="AF271" s="7"/>
      <c r="AG271" s="7"/>
      <c r="AH271" s="7"/>
    </row>
    <row r="272" spans="1:34" ht="15.75" customHeight="1">
      <c r="A272" s="7"/>
      <c r="B272" s="7"/>
      <c r="C272" s="29"/>
      <c r="D272" s="30"/>
      <c r="E272" s="30"/>
      <c r="F272" s="30"/>
      <c r="G272" s="30"/>
      <c r="H272" s="30"/>
      <c r="I272" s="30"/>
      <c r="J272" s="30"/>
      <c r="K272" s="7"/>
      <c r="L272" s="7"/>
      <c r="M272" s="7"/>
      <c r="N272" s="7"/>
      <c r="O272" s="7"/>
      <c r="P272" s="7"/>
      <c r="Q272" s="7"/>
      <c r="R272" s="7"/>
      <c r="S272" s="7"/>
      <c r="T272" s="7"/>
      <c r="U272" s="7"/>
      <c r="V272" s="7"/>
      <c r="W272" s="7"/>
      <c r="X272" s="7"/>
      <c r="Y272" s="7"/>
      <c r="Z272" s="7"/>
      <c r="AA272" s="7"/>
      <c r="AB272" s="7"/>
      <c r="AC272" s="7"/>
      <c r="AD272" s="7"/>
      <c r="AE272" s="7"/>
      <c r="AF272" s="7"/>
      <c r="AG272" s="7"/>
      <c r="AH272" s="7"/>
    </row>
    <row r="273" spans="1:34" ht="15.75" customHeight="1">
      <c r="A273" s="7"/>
      <c r="B273" s="7"/>
      <c r="C273" s="29"/>
      <c r="D273" s="30"/>
      <c r="E273" s="30"/>
      <c r="F273" s="30"/>
      <c r="G273" s="30"/>
      <c r="H273" s="30"/>
      <c r="I273" s="30"/>
      <c r="J273" s="30"/>
      <c r="K273" s="7"/>
      <c r="L273" s="7"/>
      <c r="M273" s="7"/>
      <c r="N273" s="7"/>
      <c r="O273" s="7"/>
      <c r="P273" s="7"/>
      <c r="Q273" s="7"/>
      <c r="R273" s="7"/>
      <c r="S273" s="7"/>
      <c r="T273" s="7"/>
      <c r="U273" s="7"/>
      <c r="V273" s="7"/>
      <c r="W273" s="7"/>
      <c r="X273" s="7"/>
      <c r="Y273" s="7"/>
      <c r="Z273" s="7"/>
      <c r="AA273" s="7"/>
      <c r="AB273" s="7"/>
      <c r="AC273" s="7"/>
      <c r="AD273" s="7"/>
      <c r="AE273" s="7"/>
      <c r="AF273" s="7"/>
      <c r="AG273" s="7"/>
      <c r="AH273" s="7"/>
    </row>
    <row r="274" spans="1:34" ht="15.75" customHeight="1">
      <c r="A274" s="7"/>
      <c r="B274" s="7"/>
      <c r="C274" s="29"/>
      <c r="D274" s="30"/>
      <c r="E274" s="30"/>
      <c r="F274" s="30"/>
      <c r="G274" s="30"/>
      <c r="H274" s="30"/>
      <c r="I274" s="30"/>
      <c r="J274" s="30"/>
      <c r="K274" s="7"/>
      <c r="L274" s="7"/>
      <c r="M274" s="7"/>
      <c r="N274" s="7"/>
      <c r="O274" s="7"/>
      <c r="P274" s="7"/>
      <c r="Q274" s="7"/>
      <c r="R274" s="7"/>
      <c r="S274" s="7"/>
      <c r="T274" s="7"/>
      <c r="U274" s="7"/>
      <c r="V274" s="7"/>
      <c r="W274" s="7"/>
      <c r="X274" s="7"/>
      <c r="Y274" s="7"/>
      <c r="Z274" s="7"/>
      <c r="AA274" s="7"/>
      <c r="AB274" s="7"/>
      <c r="AC274" s="7"/>
      <c r="AD274" s="7"/>
      <c r="AE274" s="7"/>
      <c r="AF274" s="7"/>
      <c r="AG274" s="7"/>
      <c r="AH274" s="7"/>
    </row>
    <row r="275" spans="1:34" ht="15.75" customHeight="1">
      <c r="A275" s="7"/>
      <c r="B275" s="7"/>
      <c r="C275" s="29"/>
      <c r="D275" s="30"/>
      <c r="E275" s="30"/>
      <c r="F275" s="30"/>
      <c r="G275" s="30"/>
      <c r="H275" s="30"/>
      <c r="I275" s="30"/>
      <c r="J275" s="30"/>
      <c r="K275" s="7"/>
      <c r="L275" s="7"/>
      <c r="M275" s="7"/>
      <c r="N275" s="7"/>
      <c r="O275" s="7"/>
      <c r="P275" s="7"/>
      <c r="Q275" s="7"/>
      <c r="R275" s="7"/>
      <c r="S275" s="7"/>
      <c r="T275" s="7"/>
      <c r="U275" s="7"/>
      <c r="V275" s="7"/>
      <c r="W275" s="7"/>
      <c r="X275" s="7"/>
      <c r="Y275" s="7"/>
      <c r="Z275" s="7"/>
      <c r="AA275" s="7"/>
      <c r="AB275" s="7"/>
      <c r="AC275" s="7"/>
      <c r="AD275" s="7"/>
      <c r="AE275" s="7"/>
      <c r="AF275" s="7"/>
      <c r="AG275" s="7"/>
      <c r="AH275" s="7"/>
    </row>
    <row r="276" spans="1:34" ht="15.75" customHeight="1">
      <c r="A276" s="7"/>
      <c r="B276" s="7"/>
      <c r="C276" s="29"/>
      <c r="D276" s="30"/>
      <c r="E276" s="30"/>
      <c r="F276" s="30"/>
      <c r="G276" s="30"/>
      <c r="H276" s="30"/>
      <c r="I276" s="30"/>
      <c r="J276" s="30"/>
      <c r="K276" s="7"/>
      <c r="L276" s="7"/>
      <c r="M276" s="7"/>
      <c r="N276" s="7"/>
      <c r="O276" s="7"/>
      <c r="P276" s="7"/>
      <c r="Q276" s="7"/>
      <c r="R276" s="7"/>
      <c r="S276" s="7"/>
      <c r="T276" s="7"/>
      <c r="U276" s="7"/>
      <c r="V276" s="7"/>
      <c r="W276" s="7"/>
      <c r="X276" s="7"/>
      <c r="Y276" s="7"/>
      <c r="Z276" s="7"/>
      <c r="AA276" s="7"/>
      <c r="AB276" s="7"/>
      <c r="AC276" s="7"/>
      <c r="AD276" s="7"/>
      <c r="AE276" s="7"/>
      <c r="AF276" s="7"/>
      <c r="AG276" s="7"/>
      <c r="AH276" s="7"/>
    </row>
    <row r="277" spans="1:34" ht="15.75" customHeight="1">
      <c r="A277" s="7"/>
      <c r="B277" s="7"/>
      <c r="C277" s="29"/>
      <c r="D277" s="30"/>
      <c r="E277" s="30"/>
      <c r="F277" s="30"/>
      <c r="G277" s="30"/>
      <c r="H277" s="30"/>
      <c r="I277" s="30"/>
      <c r="J277" s="30"/>
      <c r="K277" s="7"/>
      <c r="L277" s="7"/>
      <c r="M277" s="7"/>
      <c r="N277" s="7"/>
      <c r="O277" s="7"/>
      <c r="P277" s="7"/>
      <c r="Q277" s="7"/>
      <c r="R277" s="7"/>
      <c r="S277" s="7"/>
      <c r="T277" s="7"/>
      <c r="U277" s="7"/>
      <c r="V277" s="7"/>
      <c r="W277" s="7"/>
      <c r="X277" s="7"/>
      <c r="Y277" s="7"/>
      <c r="Z277" s="7"/>
      <c r="AA277" s="7"/>
      <c r="AB277" s="7"/>
      <c r="AC277" s="7"/>
      <c r="AD277" s="7"/>
      <c r="AE277" s="7"/>
      <c r="AF277" s="7"/>
      <c r="AG277" s="7"/>
      <c r="AH277" s="7"/>
    </row>
    <row r="278" spans="1:34" ht="15.75" customHeight="1">
      <c r="A278" s="7"/>
      <c r="B278" s="7"/>
      <c r="C278" s="29"/>
      <c r="D278" s="30"/>
      <c r="E278" s="30"/>
      <c r="F278" s="30"/>
      <c r="G278" s="30"/>
      <c r="H278" s="30"/>
      <c r="I278" s="30"/>
      <c r="J278" s="30"/>
      <c r="K278" s="7"/>
      <c r="L278" s="7"/>
      <c r="M278" s="7"/>
      <c r="N278" s="7"/>
      <c r="O278" s="7"/>
      <c r="P278" s="7"/>
      <c r="Q278" s="7"/>
      <c r="R278" s="7"/>
      <c r="S278" s="7"/>
      <c r="T278" s="7"/>
      <c r="U278" s="7"/>
      <c r="V278" s="7"/>
      <c r="W278" s="7"/>
      <c r="X278" s="7"/>
      <c r="Y278" s="7"/>
      <c r="Z278" s="7"/>
      <c r="AA278" s="7"/>
      <c r="AB278" s="7"/>
      <c r="AC278" s="7"/>
      <c r="AD278" s="7"/>
      <c r="AE278" s="7"/>
      <c r="AF278" s="7"/>
      <c r="AG278" s="7"/>
      <c r="AH278" s="7"/>
    </row>
    <row r="279" spans="1:34" ht="15.75" customHeight="1">
      <c r="A279" s="7"/>
      <c r="B279" s="7"/>
      <c r="C279" s="29"/>
      <c r="D279" s="30"/>
      <c r="E279" s="30"/>
      <c r="F279" s="30"/>
      <c r="G279" s="30"/>
      <c r="H279" s="30"/>
      <c r="I279" s="30"/>
      <c r="J279" s="30"/>
      <c r="K279" s="7"/>
      <c r="L279" s="7"/>
      <c r="M279" s="7"/>
      <c r="N279" s="7"/>
      <c r="O279" s="7"/>
      <c r="P279" s="7"/>
      <c r="Q279" s="7"/>
      <c r="R279" s="7"/>
      <c r="S279" s="7"/>
      <c r="T279" s="7"/>
      <c r="U279" s="7"/>
      <c r="V279" s="7"/>
      <c r="W279" s="7"/>
      <c r="X279" s="7"/>
      <c r="Y279" s="7"/>
      <c r="Z279" s="7"/>
      <c r="AA279" s="7"/>
      <c r="AB279" s="7"/>
      <c r="AC279" s="7"/>
      <c r="AD279" s="7"/>
      <c r="AE279" s="7"/>
      <c r="AF279" s="7"/>
      <c r="AG279" s="7"/>
      <c r="AH279" s="7"/>
    </row>
    <row r="280" spans="1:34" ht="15.75" customHeight="1">
      <c r="A280" s="7"/>
      <c r="B280" s="7"/>
      <c r="C280" s="29"/>
      <c r="D280" s="30"/>
      <c r="E280" s="30"/>
      <c r="F280" s="30"/>
      <c r="G280" s="30"/>
      <c r="H280" s="30"/>
      <c r="I280" s="30"/>
      <c r="J280" s="30"/>
      <c r="K280" s="7"/>
      <c r="L280" s="7"/>
      <c r="M280" s="7"/>
      <c r="N280" s="7"/>
      <c r="O280" s="7"/>
      <c r="P280" s="7"/>
      <c r="Q280" s="7"/>
      <c r="R280" s="7"/>
      <c r="S280" s="7"/>
      <c r="T280" s="7"/>
      <c r="U280" s="7"/>
      <c r="V280" s="7"/>
      <c r="W280" s="7"/>
      <c r="X280" s="7"/>
      <c r="Y280" s="7"/>
      <c r="Z280" s="7"/>
      <c r="AA280" s="7"/>
      <c r="AB280" s="7"/>
      <c r="AC280" s="7"/>
      <c r="AD280" s="7"/>
      <c r="AE280" s="7"/>
      <c r="AF280" s="7"/>
      <c r="AG280" s="7"/>
      <c r="AH280" s="7"/>
    </row>
    <row r="281" spans="1:34" ht="15.75" customHeight="1">
      <c r="A281" s="7"/>
      <c r="B281" s="7"/>
      <c r="C281" s="29"/>
      <c r="D281" s="30"/>
      <c r="E281" s="30"/>
      <c r="F281" s="30"/>
      <c r="G281" s="30"/>
      <c r="H281" s="30"/>
      <c r="I281" s="30"/>
      <c r="J281" s="30"/>
      <c r="K281" s="7"/>
      <c r="L281" s="7"/>
      <c r="M281" s="7"/>
      <c r="N281" s="7"/>
      <c r="O281" s="7"/>
      <c r="P281" s="7"/>
      <c r="Q281" s="7"/>
      <c r="R281" s="7"/>
      <c r="S281" s="7"/>
      <c r="T281" s="7"/>
      <c r="U281" s="7"/>
      <c r="V281" s="7"/>
      <c r="W281" s="7"/>
      <c r="X281" s="7"/>
      <c r="Y281" s="7"/>
      <c r="Z281" s="7"/>
      <c r="AA281" s="7"/>
      <c r="AB281" s="7"/>
      <c r="AC281" s="7"/>
      <c r="AD281" s="7"/>
      <c r="AE281" s="7"/>
      <c r="AF281" s="7"/>
      <c r="AG281" s="7"/>
      <c r="AH281" s="7"/>
    </row>
    <row r="282" spans="1:34" ht="15.75" customHeight="1">
      <c r="A282" s="7"/>
      <c r="B282" s="7"/>
      <c r="C282" s="29"/>
      <c r="D282" s="30"/>
      <c r="E282" s="30"/>
      <c r="F282" s="30"/>
      <c r="G282" s="30"/>
      <c r="H282" s="30"/>
      <c r="I282" s="30"/>
      <c r="J282" s="30"/>
      <c r="K282" s="7"/>
      <c r="L282" s="7"/>
      <c r="M282" s="7"/>
      <c r="N282" s="7"/>
      <c r="O282" s="7"/>
      <c r="P282" s="7"/>
      <c r="Q282" s="7"/>
      <c r="R282" s="7"/>
      <c r="S282" s="7"/>
      <c r="T282" s="7"/>
      <c r="U282" s="7"/>
      <c r="V282" s="7"/>
      <c r="W282" s="7"/>
      <c r="X282" s="7"/>
      <c r="Y282" s="7"/>
      <c r="Z282" s="7"/>
      <c r="AA282" s="7"/>
      <c r="AB282" s="7"/>
      <c r="AC282" s="7"/>
      <c r="AD282" s="7"/>
      <c r="AE282" s="7"/>
      <c r="AF282" s="7"/>
      <c r="AG282" s="7"/>
      <c r="AH282" s="7"/>
    </row>
    <row r="283" spans="1:34" ht="15.75" customHeight="1">
      <c r="A283" s="7"/>
      <c r="B283" s="7"/>
      <c r="C283" s="29"/>
      <c r="D283" s="30"/>
      <c r="E283" s="30"/>
      <c r="F283" s="30"/>
      <c r="G283" s="30"/>
      <c r="H283" s="30"/>
      <c r="I283" s="30"/>
      <c r="J283" s="30"/>
      <c r="K283" s="7"/>
      <c r="L283" s="7"/>
      <c r="M283" s="7"/>
      <c r="N283" s="7"/>
      <c r="O283" s="7"/>
      <c r="P283" s="7"/>
      <c r="Q283" s="7"/>
      <c r="R283" s="7"/>
      <c r="S283" s="7"/>
      <c r="T283" s="7"/>
      <c r="U283" s="7"/>
      <c r="V283" s="7"/>
      <c r="W283" s="7"/>
      <c r="X283" s="7"/>
      <c r="Y283" s="7"/>
      <c r="Z283" s="7"/>
      <c r="AA283" s="7"/>
      <c r="AB283" s="7"/>
      <c r="AC283" s="7"/>
      <c r="AD283" s="7"/>
      <c r="AE283" s="7"/>
      <c r="AF283" s="7"/>
      <c r="AG283" s="7"/>
      <c r="AH283" s="7"/>
    </row>
    <row r="284" spans="1:34" ht="15.75" customHeight="1">
      <c r="A284" s="7"/>
      <c r="B284" s="7"/>
      <c r="C284" s="29"/>
      <c r="D284" s="30"/>
      <c r="E284" s="30"/>
      <c r="F284" s="30"/>
      <c r="G284" s="30"/>
      <c r="H284" s="30"/>
      <c r="I284" s="30"/>
      <c r="J284" s="30"/>
      <c r="K284" s="7"/>
      <c r="L284" s="7"/>
      <c r="M284" s="7"/>
      <c r="N284" s="7"/>
      <c r="O284" s="7"/>
      <c r="P284" s="7"/>
      <c r="Q284" s="7"/>
      <c r="R284" s="7"/>
      <c r="S284" s="7"/>
      <c r="T284" s="7"/>
      <c r="U284" s="7"/>
      <c r="V284" s="7"/>
      <c r="W284" s="7"/>
      <c r="X284" s="7"/>
      <c r="Y284" s="7"/>
      <c r="Z284" s="7"/>
      <c r="AA284" s="7"/>
      <c r="AB284" s="7"/>
      <c r="AC284" s="7"/>
      <c r="AD284" s="7"/>
      <c r="AE284" s="7"/>
      <c r="AF284" s="7"/>
      <c r="AG284" s="7"/>
      <c r="AH284" s="7"/>
    </row>
    <row r="285" spans="1:34" ht="15.75" customHeight="1">
      <c r="A285" s="7"/>
      <c r="B285" s="7"/>
      <c r="C285" s="29"/>
      <c r="D285" s="30"/>
      <c r="E285" s="30"/>
      <c r="F285" s="30"/>
      <c r="G285" s="30"/>
      <c r="H285" s="30"/>
      <c r="I285" s="30"/>
      <c r="J285" s="30"/>
      <c r="K285" s="7"/>
      <c r="L285" s="7"/>
      <c r="M285" s="7"/>
      <c r="N285" s="7"/>
      <c r="O285" s="7"/>
      <c r="P285" s="7"/>
      <c r="Q285" s="7"/>
      <c r="R285" s="7"/>
      <c r="S285" s="7"/>
      <c r="T285" s="7"/>
      <c r="U285" s="7"/>
      <c r="V285" s="7"/>
      <c r="W285" s="7"/>
      <c r="X285" s="7"/>
      <c r="Y285" s="7"/>
      <c r="Z285" s="7"/>
      <c r="AA285" s="7"/>
      <c r="AB285" s="7"/>
      <c r="AC285" s="7"/>
      <c r="AD285" s="7"/>
      <c r="AE285" s="7"/>
      <c r="AF285" s="7"/>
      <c r="AG285" s="7"/>
      <c r="AH285" s="7"/>
    </row>
    <row r="286" spans="1:34" ht="15.75" customHeight="1">
      <c r="A286" s="7"/>
      <c r="B286" s="7"/>
      <c r="C286" s="29"/>
      <c r="D286" s="30"/>
      <c r="E286" s="30"/>
      <c r="F286" s="30"/>
      <c r="G286" s="30"/>
      <c r="H286" s="30"/>
      <c r="I286" s="30"/>
      <c r="J286" s="30"/>
      <c r="K286" s="7"/>
      <c r="L286" s="7"/>
      <c r="M286" s="7"/>
      <c r="N286" s="7"/>
      <c r="O286" s="7"/>
      <c r="P286" s="7"/>
      <c r="Q286" s="7"/>
      <c r="R286" s="7"/>
      <c r="S286" s="7"/>
      <c r="T286" s="7"/>
      <c r="U286" s="7"/>
      <c r="V286" s="7"/>
      <c r="W286" s="7"/>
      <c r="X286" s="7"/>
      <c r="Y286" s="7"/>
      <c r="Z286" s="7"/>
      <c r="AA286" s="7"/>
      <c r="AB286" s="7"/>
      <c r="AC286" s="7"/>
      <c r="AD286" s="7"/>
      <c r="AE286" s="7"/>
      <c r="AF286" s="7"/>
      <c r="AG286" s="7"/>
      <c r="AH286" s="7"/>
    </row>
    <row r="287" spans="1:34" ht="15.75" customHeight="1">
      <c r="A287" s="7"/>
      <c r="B287" s="7"/>
      <c r="C287" s="29"/>
      <c r="D287" s="30"/>
      <c r="E287" s="30"/>
      <c r="F287" s="30"/>
      <c r="G287" s="30"/>
      <c r="H287" s="30"/>
      <c r="I287" s="30"/>
      <c r="J287" s="30"/>
      <c r="K287" s="7"/>
      <c r="L287" s="7"/>
      <c r="M287" s="7"/>
      <c r="N287" s="7"/>
      <c r="O287" s="7"/>
      <c r="P287" s="7"/>
      <c r="Q287" s="7"/>
      <c r="R287" s="7"/>
      <c r="S287" s="7"/>
      <c r="T287" s="7"/>
      <c r="U287" s="7"/>
      <c r="V287" s="7"/>
      <c r="W287" s="7"/>
      <c r="X287" s="7"/>
      <c r="Y287" s="7"/>
      <c r="Z287" s="7"/>
      <c r="AA287" s="7"/>
      <c r="AB287" s="7"/>
      <c r="AC287" s="7"/>
      <c r="AD287" s="7"/>
      <c r="AE287" s="7"/>
      <c r="AF287" s="7"/>
      <c r="AG287" s="7"/>
      <c r="AH287" s="7"/>
    </row>
    <row r="288" spans="1:34" ht="15.75" customHeight="1">
      <c r="A288" s="7"/>
      <c r="B288" s="7"/>
      <c r="C288" s="29"/>
      <c r="D288" s="30"/>
      <c r="E288" s="30"/>
      <c r="F288" s="30"/>
      <c r="G288" s="30"/>
      <c r="H288" s="30"/>
      <c r="I288" s="30"/>
      <c r="J288" s="30"/>
      <c r="K288" s="7"/>
      <c r="L288" s="7"/>
      <c r="M288" s="7"/>
      <c r="N288" s="7"/>
      <c r="O288" s="7"/>
      <c r="P288" s="7"/>
      <c r="Q288" s="7"/>
      <c r="R288" s="7"/>
      <c r="S288" s="7"/>
      <c r="T288" s="7"/>
      <c r="U288" s="7"/>
      <c r="V288" s="7"/>
      <c r="W288" s="7"/>
      <c r="X288" s="7"/>
      <c r="Y288" s="7"/>
      <c r="Z288" s="7"/>
      <c r="AA288" s="7"/>
      <c r="AB288" s="7"/>
      <c r="AC288" s="7"/>
      <c r="AD288" s="7"/>
      <c r="AE288" s="7"/>
      <c r="AF288" s="7"/>
      <c r="AG288" s="7"/>
      <c r="AH288" s="7"/>
    </row>
    <row r="289" spans="1:34" ht="15.75" customHeight="1">
      <c r="A289" s="7"/>
      <c r="B289" s="7"/>
      <c r="C289" s="29"/>
      <c r="D289" s="30"/>
      <c r="E289" s="30"/>
      <c r="F289" s="30"/>
      <c r="G289" s="30"/>
      <c r="H289" s="30"/>
      <c r="I289" s="30"/>
      <c r="J289" s="30"/>
      <c r="K289" s="7"/>
      <c r="L289" s="7"/>
      <c r="M289" s="7"/>
      <c r="N289" s="7"/>
      <c r="O289" s="7"/>
      <c r="P289" s="7"/>
      <c r="Q289" s="7"/>
      <c r="R289" s="7"/>
      <c r="S289" s="7"/>
      <c r="T289" s="7"/>
      <c r="U289" s="7"/>
      <c r="V289" s="7"/>
      <c r="W289" s="7"/>
      <c r="X289" s="7"/>
      <c r="Y289" s="7"/>
      <c r="Z289" s="7"/>
      <c r="AA289" s="7"/>
      <c r="AB289" s="7"/>
      <c r="AC289" s="7"/>
      <c r="AD289" s="7"/>
      <c r="AE289" s="7"/>
      <c r="AF289" s="7"/>
      <c r="AG289" s="7"/>
      <c r="AH289" s="7"/>
    </row>
    <row r="290" spans="1:34" ht="15.75" customHeight="1">
      <c r="A290" s="7"/>
      <c r="B290" s="7"/>
      <c r="C290" s="29"/>
      <c r="D290" s="30"/>
      <c r="E290" s="30"/>
      <c r="F290" s="30"/>
      <c r="G290" s="30"/>
      <c r="H290" s="30"/>
      <c r="I290" s="30"/>
      <c r="J290" s="30"/>
      <c r="K290" s="7"/>
      <c r="L290" s="7"/>
      <c r="M290" s="7"/>
      <c r="N290" s="7"/>
      <c r="O290" s="7"/>
      <c r="P290" s="7"/>
      <c r="Q290" s="7"/>
      <c r="R290" s="7"/>
      <c r="S290" s="7"/>
      <c r="T290" s="7"/>
      <c r="U290" s="7"/>
      <c r="V290" s="7"/>
      <c r="W290" s="7"/>
      <c r="X290" s="7"/>
      <c r="Y290" s="7"/>
      <c r="Z290" s="7"/>
      <c r="AA290" s="7"/>
      <c r="AB290" s="7"/>
      <c r="AC290" s="7"/>
      <c r="AD290" s="7"/>
      <c r="AE290" s="7"/>
      <c r="AF290" s="7"/>
      <c r="AG290" s="7"/>
      <c r="AH290" s="7"/>
    </row>
    <row r="291" spans="1:34" ht="15.75" customHeight="1">
      <c r="A291" s="7"/>
      <c r="B291" s="7"/>
      <c r="C291" s="29"/>
      <c r="D291" s="30"/>
      <c r="E291" s="30"/>
      <c r="F291" s="30"/>
      <c r="G291" s="30"/>
      <c r="H291" s="30"/>
      <c r="I291" s="30"/>
      <c r="J291" s="30"/>
      <c r="K291" s="7"/>
      <c r="L291" s="7"/>
      <c r="M291" s="7"/>
      <c r="N291" s="7"/>
      <c r="O291" s="7"/>
      <c r="P291" s="7"/>
      <c r="Q291" s="7"/>
      <c r="R291" s="7"/>
      <c r="S291" s="7"/>
      <c r="T291" s="7"/>
      <c r="U291" s="7"/>
      <c r="V291" s="7"/>
      <c r="W291" s="7"/>
      <c r="X291" s="7"/>
      <c r="Y291" s="7"/>
      <c r="Z291" s="7"/>
      <c r="AA291" s="7"/>
      <c r="AB291" s="7"/>
      <c r="AC291" s="7"/>
      <c r="AD291" s="7"/>
      <c r="AE291" s="7"/>
      <c r="AF291" s="7"/>
      <c r="AG291" s="7"/>
      <c r="AH291" s="7"/>
    </row>
    <row r="292" spans="1:34" ht="15.75" customHeight="1">
      <c r="A292" s="7"/>
      <c r="B292" s="7"/>
      <c r="C292" s="29"/>
      <c r="D292" s="30"/>
      <c r="E292" s="30"/>
      <c r="F292" s="30"/>
      <c r="G292" s="30"/>
      <c r="H292" s="30"/>
      <c r="I292" s="30"/>
      <c r="J292" s="30"/>
      <c r="K292" s="7"/>
      <c r="L292" s="7"/>
      <c r="M292" s="7"/>
      <c r="N292" s="7"/>
      <c r="O292" s="7"/>
      <c r="P292" s="7"/>
      <c r="Q292" s="7"/>
      <c r="R292" s="7"/>
      <c r="S292" s="7"/>
      <c r="T292" s="7"/>
      <c r="U292" s="7"/>
      <c r="V292" s="7"/>
      <c r="W292" s="7"/>
      <c r="X292" s="7"/>
      <c r="Y292" s="7"/>
      <c r="Z292" s="7"/>
      <c r="AA292" s="7"/>
      <c r="AB292" s="7"/>
      <c r="AC292" s="7"/>
      <c r="AD292" s="7"/>
      <c r="AE292" s="7"/>
      <c r="AF292" s="7"/>
      <c r="AG292" s="7"/>
      <c r="AH292" s="7"/>
    </row>
    <row r="293" spans="1:34" ht="15.75" customHeight="1">
      <c r="A293" s="7"/>
      <c r="B293" s="7"/>
      <c r="C293" s="29"/>
      <c r="D293" s="30"/>
      <c r="E293" s="30"/>
      <c r="F293" s="30"/>
      <c r="G293" s="30"/>
      <c r="H293" s="30"/>
      <c r="I293" s="30"/>
      <c r="J293" s="30"/>
      <c r="K293" s="7"/>
      <c r="L293" s="7"/>
      <c r="M293" s="7"/>
      <c r="N293" s="7"/>
      <c r="O293" s="7"/>
      <c r="P293" s="7"/>
      <c r="Q293" s="7"/>
      <c r="R293" s="7"/>
      <c r="S293" s="7"/>
      <c r="T293" s="7"/>
      <c r="U293" s="7"/>
      <c r="V293" s="7"/>
      <c r="W293" s="7"/>
      <c r="X293" s="7"/>
      <c r="Y293" s="7"/>
      <c r="Z293" s="7"/>
      <c r="AA293" s="7"/>
      <c r="AB293" s="7"/>
      <c r="AC293" s="7"/>
      <c r="AD293" s="7"/>
      <c r="AE293" s="7"/>
      <c r="AF293" s="7"/>
      <c r="AG293" s="7"/>
      <c r="AH293" s="7"/>
    </row>
    <row r="294" spans="1:34" ht="15.75" customHeight="1">
      <c r="A294" s="7"/>
      <c r="B294" s="7"/>
      <c r="C294" s="29"/>
      <c r="D294" s="30"/>
      <c r="E294" s="30"/>
      <c r="F294" s="30"/>
      <c r="G294" s="30"/>
      <c r="H294" s="30"/>
      <c r="I294" s="30"/>
      <c r="J294" s="30"/>
      <c r="K294" s="7"/>
      <c r="L294" s="7"/>
      <c r="M294" s="7"/>
      <c r="N294" s="7"/>
      <c r="O294" s="7"/>
      <c r="P294" s="7"/>
      <c r="Q294" s="7"/>
      <c r="R294" s="7"/>
      <c r="S294" s="7"/>
      <c r="T294" s="7"/>
      <c r="U294" s="7"/>
      <c r="V294" s="7"/>
      <c r="W294" s="7"/>
      <c r="X294" s="7"/>
      <c r="Y294" s="7"/>
      <c r="Z294" s="7"/>
      <c r="AA294" s="7"/>
      <c r="AB294" s="7"/>
      <c r="AC294" s="7"/>
      <c r="AD294" s="7"/>
      <c r="AE294" s="7"/>
      <c r="AF294" s="7"/>
      <c r="AG294" s="7"/>
      <c r="AH294" s="7"/>
    </row>
    <row r="295" spans="1:34" ht="15.75" customHeight="1">
      <c r="A295" s="7"/>
      <c r="B295" s="7"/>
      <c r="C295" s="29"/>
      <c r="D295" s="30"/>
      <c r="E295" s="30"/>
      <c r="F295" s="30"/>
      <c r="G295" s="30"/>
      <c r="H295" s="30"/>
      <c r="I295" s="30"/>
      <c r="J295" s="30"/>
      <c r="K295" s="7"/>
      <c r="L295" s="7"/>
      <c r="M295" s="7"/>
      <c r="N295" s="7"/>
      <c r="O295" s="7"/>
      <c r="P295" s="7"/>
      <c r="Q295" s="7"/>
      <c r="R295" s="7"/>
      <c r="S295" s="7"/>
      <c r="T295" s="7"/>
      <c r="U295" s="7"/>
      <c r="V295" s="7"/>
      <c r="W295" s="7"/>
      <c r="X295" s="7"/>
      <c r="Y295" s="7"/>
      <c r="Z295" s="7"/>
      <c r="AA295" s="7"/>
      <c r="AB295" s="7"/>
      <c r="AC295" s="7"/>
      <c r="AD295" s="7"/>
      <c r="AE295" s="7"/>
      <c r="AF295" s="7"/>
      <c r="AG295" s="7"/>
      <c r="AH295" s="7"/>
    </row>
    <row r="296" spans="1:34" ht="15.75" customHeight="1">
      <c r="A296" s="7"/>
      <c r="B296" s="7"/>
      <c r="C296" s="29"/>
      <c r="D296" s="30"/>
      <c r="E296" s="30"/>
      <c r="F296" s="30"/>
      <c r="G296" s="30"/>
      <c r="H296" s="30"/>
      <c r="I296" s="30"/>
      <c r="J296" s="30"/>
      <c r="K296" s="7"/>
      <c r="L296" s="7"/>
      <c r="M296" s="7"/>
      <c r="N296" s="7"/>
      <c r="O296" s="7"/>
      <c r="P296" s="7"/>
      <c r="Q296" s="7"/>
      <c r="R296" s="7"/>
      <c r="S296" s="7"/>
      <c r="T296" s="7"/>
      <c r="U296" s="7"/>
      <c r="V296" s="7"/>
      <c r="W296" s="7"/>
      <c r="X296" s="7"/>
      <c r="Y296" s="7"/>
      <c r="Z296" s="7"/>
      <c r="AA296" s="7"/>
      <c r="AB296" s="7"/>
      <c r="AC296" s="7"/>
      <c r="AD296" s="7"/>
      <c r="AE296" s="7"/>
      <c r="AF296" s="7"/>
      <c r="AG296" s="7"/>
      <c r="AH296" s="7"/>
    </row>
    <row r="297" spans="1:34" ht="15.75" customHeight="1">
      <c r="A297" s="7"/>
      <c r="B297" s="7"/>
      <c r="C297" s="29"/>
      <c r="D297" s="30"/>
      <c r="E297" s="30"/>
      <c r="F297" s="30"/>
      <c r="G297" s="30"/>
      <c r="H297" s="30"/>
      <c r="I297" s="30"/>
      <c r="J297" s="30"/>
      <c r="K297" s="7"/>
      <c r="L297" s="7"/>
      <c r="M297" s="7"/>
      <c r="N297" s="7"/>
      <c r="O297" s="7"/>
      <c r="P297" s="7"/>
      <c r="Q297" s="7"/>
      <c r="R297" s="7"/>
      <c r="S297" s="7"/>
      <c r="T297" s="7"/>
      <c r="U297" s="7"/>
      <c r="V297" s="7"/>
      <c r="W297" s="7"/>
      <c r="X297" s="7"/>
      <c r="Y297" s="7"/>
      <c r="Z297" s="7"/>
      <c r="AA297" s="7"/>
      <c r="AB297" s="7"/>
      <c r="AC297" s="7"/>
      <c r="AD297" s="7"/>
      <c r="AE297" s="7"/>
      <c r="AF297" s="7"/>
      <c r="AG297" s="7"/>
      <c r="AH297" s="7"/>
    </row>
    <row r="298" spans="1:34" ht="15.75" customHeight="1">
      <c r="A298" s="7"/>
      <c r="B298" s="7"/>
      <c r="C298" s="29"/>
      <c r="D298" s="30"/>
      <c r="E298" s="30"/>
      <c r="F298" s="30"/>
      <c r="G298" s="30"/>
      <c r="H298" s="30"/>
      <c r="I298" s="30"/>
      <c r="J298" s="30"/>
      <c r="K298" s="7"/>
      <c r="L298" s="7"/>
      <c r="M298" s="7"/>
      <c r="N298" s="7"/>
      <c r="O298" s="7"/>
      <c r="P298" s="7"/>
      <c r="Q298" s="7"/>
      <c r="R298" s="7"/>
      <c r="S298" s="7"/>
      <c r="T298" s="7"/>
      <c r="U298" s="7"/>
      <c r="V298" s="7"/>
      <c r="W298" s="7"/>
      <c r="X298" s="7"/>
      <c r="Y298" s="7"/>
      <c r="Z298" s="7"/>
      <c r="AA298" s="7"/>
      <c r="AB298" s="7"/>
      <c r="AC298" s="7"/>
      <c r="AD298" s="7"/>
      <c r="AE298" s="7"/>
      <c r="AF298" s="7"/>
      <c r="AG298" s="7"/>
      <c r="AH298" s="7"/>
    </row>
    <row r="299" spans="1:34" ht="15.75" customHeight="1">
      <c r="A299" s="7"/>
      <c r="B299" s="7"/>
      <c r="C299" s="29"/>
      <c r="D299" s="30"/>
      <c r="E299" s="30"/>
      <c r="F299" s="30"/>
      <c r="G299" s="30"/>
      <c r="H299" s="30"/>
      <c r="I299" s="30"/>
      <c r="J299" s="30"/>
      <c r="K299" s="7"/>
      <c r="L299" s="7"/>
      <c r="M299" s="7"/>
      <c r="N299" s="7"/>
      <c r="O299" s="7"/>
      <c r="P299" s="7"/>
      <c r="Q299" s="7"/>
      <c r="R299" s="7"/>
      <c r="S299" s="7"/>
      <c r="T299" s="7"/>
      <c r="U299" s="7"/>
      <c r="V299" s="7"/>
      <c r="W299" s="7"/>
      <c r="X299" s="7"/>
      <c r="Y299" s="7"/>
      <c r="Z299" s="7"/>
      <c r="AA299" s="7"/>
      <c r="AB299" s="7"/>
      <c r="AC299" s="7"/>
      <c r="AD299" s="7"/>
      <c r="AE299" s="7"/>
      <c r="AF299" s="7"/>
      <c r="AG299" s="7"/>
      <c r="AH299" s="7"/>
    </row>
    <row r="300" spans="1:34" ht="15.75" customHeight="1">
      <c r="A300" s="7"/>
      <c r="B300" s="7"/>
      <c r="C300" s="29"/>
      <c r="D300" s="30"/>
      <c r="E300" s="30"/>
      <c r="F300" s="30"/>
      <c r="G300" s="30"/>
      <c r="H300" s="30"/>
      <c r="I300" s="30"/>
      <c r="J300" s="30"/>
      <c r="K300" s="7"/>
      <c r="L300" s="7"/>
      <c r="M300" s="7"/>
      <c r="N300" s="7"/>
      <c r="O300" s="7"/>
      <c r="P300" s="7"/>
      <c r="Q300" s="7"/>
      <c r="R300" s="7"/>
      <c r="S300" s="7"/>
      <c r="T300" s="7"/>
      <c r="U300" s="7"/>
      <c r="V300" s="7"/>
      <c r="W300" s="7"/>
      <c r="X300" s="7"/>
      <c r="Y300" s="7"/>
      <c r="Z300" s="7"/>
      <c r="AA300" s="7"/>
      <c r="AB300" s="7"/>
      <c r="AC300" s="7"/>
      <c r="AD300" s="7"/>
      <c r="AE300" s="7"/>
      <c r="AF300" s="7"/>
      <c r="AG300" s="7"/>
      <c r="AH300" s="7"/>
    </row>
    <row r="301" spans="1:34" ht="15.75" customHeight="1">
      <c r="A301" s="7"/>
      <c r="B301" s="7"/>
      <c r="C301" s="29"/>
      <c r="D301" s="30"/>
      <c r="E301" s="30"/>
      <c r="F301" s="30"/>
      <c r="G301" s="30"/>
      <c r="H301" s="30"/>
      <c r="I301" s="30"/>
      <c r="J301" s="30"/>
      <c r="K301" s="7"/>
      <c r="L301" s="7"/>
      <c r="M301" s="7"/>
      <c r="N301" s="7"/>
      <c r="O301" s="7"/>
      <c r="P301" s="7"/>
      <c r="Q301" s="7"/>
      <c r="R301" s="7"/>
      <c r="S301" s="7"/>
      <c r="T301" s="7"/>
      <c r="U301" s="7"/>
      <c r="V301" s="7"/>
      <c r="W301" s="7"/>
      <c r="X301" s="7"/>
      <c r="Y301" s="7"/>
      <c r="Z301" s="7"/>
      <c r="AA301" s="7"/>
      <c r="AB301" s="7"/>
      <c r="AC301" s="7"/>
      <c r="AD301" s="7"/>
      <c r="AE301" s="7"/>
      <c r="AF301" s="7"/>
      <c r="AG301" s="7"/>
      <c r="AH301" s="7"/>
    </row>
    <row r="302" spans="1:34" ht="15.75" customHeight="1"/>
    <row r="303" spans="1:34" ht="15.75" customHeight="1"/>
    <row r="304" spans="1:3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22">
    <mergeCell ref="AA62:AB62"/>
    <mergeCell ref="B36:O36"/>
    <mergeCell ref="P43:T44"/>
    <mergeCell ref="P46:T47"/>
    <mergeCell ref="P51:S51"/>
    <mergeCell ref="P81:T83"/>
    <mergeCell ref="P85:T86"/>
    <mergeCell ref="P89:T91"/>
    <mergeCell ref="P98:AB98"/>
    <mergeCell ref="P99:R99"/>
    <mergeCell ref="P12:V13"/>
    <mergeCell ref="P16:V17"/>
    <mergeCell ref="P69:T70"/>
    <mergeCell ref="P73:T74"/>
    <mergeCell ref="P77:T78"/>
    <mergeCell ref="P24:V25"/>
    <mergeCell ref="P54:Q64"/>
    <mergeCell ref="F2:J2"/>
    <mergeCell ref="K2:O2"/>
    <mergeCell ref="Q2:U2"/>
    <mergeCell ref="V2:Z2"/>
    <mergeCell ref="P8:V9"/>
  </mergeCells>
  <conditionalFormatting sqref="D52:E53">
    <cfRule type="cellIs" dxfId="8" priority="1" operator="notEqual">
      <formula>#REF!</formula>
    </cfRule>
  </conditionalFormatting>
  <conditionalFormatting sqref="D4:F4">
    <cfRule type="cellIs" dxfId="7" priority="2" operator="notEqual">
      <formula>D5</formula>
    </cfRule>
  </conditionalFormatting>
  <conditionalFormatting sqref="E4">
    <cfRule type="cellIs" dxfId="6" priority="3" operator="notEqual">
      <formula>E5</formula>
    </cfRule>
  </conditionalFormatting>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21"/>
  <sheetViews>
    <sheetView showGridLines="0" workbookViewId="0">
      <pane ySplit="3" topLeftCell="A16" activePane="bottomLeft" state="frozen"/>
      <selection pane="bottomLeft" activeCell="D23" sqref="D23"/>
    </sheetView>
  </sheetViews>
  <sheetFormatPr defaultColWidth="10.1796875" defaultRowHeight="15" customHeight="1"/>
  <cols>
    <col min="1" max="1" width="2.7265625" customWidth="1"/>
    <col min="2" max="2" width="39.26953125" customWidth="1"/>
    <col min="5" max="5" width="10.453125" customWidth="1"/>
    <col min="14" max="14" width="20.453125" customWidth="1"/>
  </cols>
  <sheetData>
    <row r="1" spans="1:26" ht="15" customHeight="1">
      <c r="A1" s="5" t="s">
        <v>123</v>
      </c>
      <c r="B1" s="7"/>
      <c r="C1" s="29"/>
      <c r="D1" s="30"/>
      <c r="E1" s="30"/>
      <c r="F1" s="30"/>
      <c r="G1" s="30"/>
      <c r="H1" s="30"/>
      <c r="I1" s="7"/>
      <c r="J1" s="7"/>
      <c r="K1" s="7"/>
      <c r="L1" s="7"/>
      <c r="M1" s="7"/>
      <c r="N1" s="7"/>
      <c r="O1" s="7"/>
      <c r="P1" s="7"/>
      <c r="Q1" s="7"/>
      <c r="R1" s="7"/>
      <c r="S1" s="7"/>
      <c r="T1" s="7"/>
      <c r="U1" s="7"/>
      <c r="V1" s="7"/>
      <c r="W1" s="7"/>
      <c r="X1" s="7"/>
      <c r="Y1" s="7"/>
      <c r="Z1" s="7"/>
    </row>
    <row r="2" spans="1:26" ht="15" customHeight="1">
      <c r="A2" s="31"/>
      <c r="B2" s="31"/>
      <c r="C2" s="32"/>
      <c r="D2" s="591" t="s">
        <v>48</v>
      </c>
      <c r="E2" s="592"/>
      <c r="F2" s="592"/>
      <c r="G2" s="592"/>
      <c r="H2" s="593"/>
      <c r="I2" s="591" t="s">
        <v>49</v>
      </c>
      <c r="J2" s="592"/>
      <c r="K2" s="592"/>
      <c r="L2" s="592"/>
      <c r="M2" s="593"/>
      <c r="N2" s="7"/>
      <c r="O2" s="7"/>
      <c r="P2" s="7"/>
      <c r="Q2" s="7"/>
      <c r="R2" s="7"/>
      <c r="S2" s="7"/>
      <c r="T2" s="7"/>
      <c r="U2" s="7"/>
      <c r="V2" s="7"/>
      <c r="W2" s="7"/>
      <c r="X2" s="7"/>
      <c r="Y2" s="7"/>
      <c r="Z2" s="7"/>
    </row>
    <row r="3" spans="1:26">
      <c r="A3" s="134" t="s">
        <v>124</v>
      </c>
      <c r="B3" s="35"/>
      <c r="C3" s="36" t="s">
        <v>51</v>
      </c>
      <c r="D3" s="37" t="s">
        <v>17</v>
      </c>
      <c r="E3" s="37" t="s">
        <v>18</v>
      </c>
      <c r="F3" s="37" t="s">
        <v>19</v>
      </c>
      <c r="G3" s="37" t="s">
        <v>20</v>
      </c>
      <c r="H3" s="37" t="s">
        <v>21</v>
      </c>
      <c r="I3" s="38" t="s">
        <v>22</v>
      </c>
      <c r="J3" s="39" t="s">
        <v>23</v>
      </c>
      <c r="K3" s="39" t="s">
        <v>24</v>
      </c>
      <c r="L3" s="39" t="s">
        <v>25</v>
      </c>
      <c r="M3" s="39" t="s">
        <v>26</v>
      </c>
      <c r="N3" s="7"/>
      <c r="O3" s="7"/>
      <c r="P3" s="7"/>
      <c r="Q3" s="7"/>
      <c r="R3" s="7"/>
      <c r="S3" s="7"/>
      <c r="T3" s="7"/>
      <c r="U3" s="7"/>
      <c r="V3" s="7"/>
      <c r="W3" s="7"/>
      <c r="X3" s="7"/>
      <c r="Y3" s="7"/>
      <c r="Z3" s="7"/>
    </row>
    <row r="4" spans="1:26" ht="15" customHeight="1">
      <c r="A4" s="7"/>
      <c r="B4" s="7"/>
      <c r="C4" s="29"/>
      <c r="D4" s="30"/>
      <c r="E4" s="30"/>
      <c r="F4" s="30"/>
      <c r="G4" s="30"/>
      <c r="H4" s="30"/>
      <c r="I4" s="53"/>
      <c r="J4" s="30"/>
      <c r="K4" s="30"/>
      <c r="L4" s="30"/>
      <c r="M4" s="30"/>
      <c r="N4" s="7"/>
      <c r="O4" s="7"/>
      <c r="P4" s="7"/>
      <c r="Q4" s="7"/>
      <c r="R4" s="7"/>
      <c r="S4" s="7"/>
      <c r="T4" s="7"/>
      <c r="U4" s="7"/>
      <c r="V4" s="7"/>
      <c r="W4" s="7"/>
      <c r="X4" s="7"/>
      <c r="Y4" s="7"/>
      <c r="Z4" s="7"/>
    </row>
    <row r="5" spans="1:26">
      <c r="A5" s="7"/>
      <c r="B5" s="45" t="s">
        <v>125</v>
      </c>
      <c r="C5" s="46"/>
      <c r="D5" s="47"/>
      <c r="E5" s="47"/>
      <c r="F5" s="47"/>
      <c r="G5" s="47"/>
      <c r="H5" s="47"/>
      <c r="I5" s="48"/>
      <c r="J5" s="47"/>
      <c r="K5" s="47"/>
      <c r="L5" s="47"/>
      <c r="M5" s="47"/>
      <c r="N5" s="7"/>
      <c r="O5" s="7"/>
      <c r="P5" s="7"/>
      <c r="Q5" s="7"/>
      <c r="R5" s="7"/>
      <c r="S5" s="7"/>
      <c r="T5" s="7"/>
      <c r="U5" s="7"/>
      <c r="V5" s="7"/>
      <c r="W5" s="7"/>
      <c r="X5" s="7"/>
      <c r="Y5" s="7"/>
      <c r="Z5" s="7"/>
    </row>
    <row r="6" spans="1:26" ht="15" customHeight="1">
      <c r="A6" s="7"/>
      <c r="B6" s="7" t="s">
        <v>126</v>
      </c>
      <c r="C6" s="29" t="s">
        <v>55</v>
      </c>
      <c r="D6" s="61">
        <f>'Balance Sheet'!D8/'Income Assumptions'!F5</f>
        <v>3.2947259341724849E-2</v>
      </c>
      <c r="E6" s="61">
        <f>'Balance Sheet'!E8/'Income Assumptions'!G5</f>
        <v>7.4421730587118208E-3</v>
      </c>
      <c r="F6" s="61">
        <f>'Balance Sheet'!F8/'Income Assumptions'!H5</f>
        <v>5.0586033346470466E-2</v>
      </c>
      <c r="G6" s="61">
        <f>'Balance Sheet'!G8/'Income Assumptions'!I5</f>
        <v>6.8485733597970022E-3</v>
      </c>
      <c r="H6" s="61">
        <f>'Balance Sheet'!H8/'Income Assumptions'!J5</f>
        <v>5.0172296666229745E-3</v>
      </c>
      <c r="I6" s="62">
        <v>5.0000000000000001E-3</v>
      </c>
      <c r="J6" s="63">
        <v>5.0000000000000001E-3</v>
      </c>
      <c r="K6" s="63">
        <v>5.0000000000000001E-3</v>
      </c>
      <c r="L6" s="63">
        <v>5.0000000000000001E-3</v>
      </c>
      <c r="M6" s="63">
        <v>5.0000000000000001E-3</v>
      </c>
      <c r="N6" s="7"/>
      <c r="O6" s="60"/>
      <c r="P6" s="60"/>
      <c r="Q6" s="7"/>
      <c r="R6" s="7"/>
      <c r="S6" s="7"/>
      <c r="T6" s="7"/>
      <c r="U6" s="7"/>
      <c r="V6" s="7"/>
      <c r="W6" s="7"/>
      <c r="X6" s="7"/>
      <c r="Y6" s="7"/>
      <c r="Z6" s="7"/>
    </row>
    <row r="7" spans="1:26" ht="15" customHeight="1">
      <c r="A7" s="7"/>
      <c r="B7" s="7" t="s">
        <v>127</v>
      </c>
      <c r="C7" s="29" t="s">
        <v>55</v>
      </c>
      <c r="D7" s="50">
        <f>'Balance Sheet'!D10/'Income Statement'!D5</f>
        <v>8.1906127312961929E-2</v>
      </c>
      <c r="E7" s="50">
        <f>'Balance Sheet'!E10/'Income Statement'!E5</f>
        <v>0.27513481952402086</v>
      </c>
      <c r="F7" s="50">
        <f>'Balance Sheet'!F10/'Income Statement'!F5</f>
        <v>7.5465785705419688E-2</v>
      </c>
      <c r="G7" s="50">
        <f>'Balance Sheet'!G10/'Income Statement'!G5</f>
        <v>0.13243396319779646</v>
      </c>
      <c r="H7" s="50">
        <f>'Balance Sheet'!H10/'Income Statement'!H5</f>
        <v>0.15283288449563803</v>
      </c>
      <c r="I7" s="62">
        <v>0.15</v>
      </c>
      <c r="J7" s="63">
        <v>0.15</v>
      </c>
      <c r="K7" s="63">
        <v>0.15</v>
      </c>
      <c r="L7" s="63">
        <v>0.15</v>
      </c>
      <c r="M7" s="63">
        <v>0.15</v>
      </c>
      <c r="O7" s="64"/>
      <c r="P7" s="64"/>
      <c r="Q7" s="7"/>
      <c r="R7" s="7"/>
      <c r="S7" s="7"/>
      <c r="T7" s="7"/>
      <c r="U7" s="7"/>
      <c r="V7" s="7"/>
      <c r="W7" s="7"/>
      <c r="X7" s="7"/>
      <c r="Y7" s="7"/>
      <c r="Z7" s="7"/>
    </row>
    <row r="8" spans="1:26" ht="15" customHeight="1">
      <c r="A8" s="7"/>
      <c r="B8" s="7" t="s">
        <v>128</v>
      </c>
      <c r="C8" s="29" t="s">
        <v>55</v>
      </c>
      <c r="D8" s="50">
        <f>'Balance Sheet'!D11/'Income Assumptions'!F5</f>
        <v>3.2345762982876169E-2</v>
      </c>
      <c r="E8" s="50">
        <f>'Balance Sheet'!E11/'Income Assumptions'!G5</f>
        <v>2.9478167213713012E-2</v>
      </c>
      <c r="F8" s="50">
        <f>'Balance Sheet'!F11/'Income Assumptions'!H5</f>
        <v>4.7761050466595345E-2</v>
      </c>
      <c r="G8" s="50">
        <f>'Balance Sheet'!G11/'Income Assumptions'!I5</f>
        <v>4.7124879454405549E-2</v>
      </c>
      <c r="H8" s="50">
        <f>'Balance Sheet'!H11/'Income Assumptions'!J5</f>
        <v>3.3976728407704188E-2</v>
      </c>
      <c r="I8" s="62">
        <v>0.03</v>
      </c>
      <c r="J8" s="63">
        <v>0.03</v>
      </c>
      <c r="K8" s="63">
        <v>0.03</v>
      </c>
      <c r="L8" s="63">
        <v>0.03</v>
      </c>
      <c r="M8" s="63">
        <v>0.03</v>
      </c>
      <c r="N8" s="533" t="s">
        <v>129</v>
      </c>
      <c r="O8" s="532"/>
      <c r="P8" s="532"/>
      <c r="Q8" s="532"/>
      <c r="R8" s="532"/>
      <c r="S8" s="532"/>
      <c r="T8" s="532"/>
      <c r="U8" s="533"/>
      <c r="V8" s="533"/>
      <c r="W8" s="533"/>
      <c r="X8" s="533"/>
      <c r="Y8" s="533"/>
      <c r="Z8" s="533"/>
    </row>
    <row r="9" spans="1:26" ht="15" customHeight="1">
      <c r="A9" s="7"/>
      <c r="B9" s="7" t="s">
        <v>130</v>
      </c>
      <c r="C9" s="29" t="s">
        <v>55</v>
      </c>
      <c r="D9" s="50">
        <f>'Balance Sheet'!D12/'Income Assumptions'!F54</f>
        <v>0.27587122323249247</v>
      </c>
      <c r="E9" s="50">
        <f>'Balance Sheet'!E12/'Income Assumptions'!G54</f>
        <v>0.11956404751200339</v>
      </c>
      <c r="F9" s="50">
        <f>'Balance Sheet'!F12/'Income Assumptions'!H54</f>
        <v>0.1097260689138715</v>
      </c>
      <c r="G9" s="50">
        <f>'Balance Sheet'!G12/'Income Assumptions'!I54</f>
        <v>0.11016096169207562</v>
      </c>
      <c r="H9" s="50">
        <f>'Balance Sheet'!H12/'Income Assumptions'!J54</f>
        <v>0.16222658157300612</v>
      </c>
      <c r="I9" s="62">
        <v>0.15</v>
      </c>
      <c r="J9" s="63">
        <v>0.14000000000000001</v>
      </c>
      <c r="K9" s="63">
        <v>0.12</v>
      </c>
      <c r="L9" s="63">
        <v>0.12</v>
      </c>
      <c r="M9" s="63">
        <v>0.12</v>
      </c>
      <c r="N9" s="625" t="s">
        <v>131</v>
      </c>
      <c r="O9" s="602"/>
      <c r="P9" s="602"/>
      <c r="Q9" s="602"/>
      <c r="R9" s="602"/>
      <c r="S9" s="602"/>
      <c r="T9" s="602"/>
      <c r="U9" s="602"/>
      <c r="V9" s="602"/>
      <c r="W9" s="602"/>
      <c r="X9" s="602"/>
      <c r="Y9" s="602"/>
      <c r="Z9" s="602"/>
    </row>
    <row r="10" spans="1:26" ht="15" customHeight="1">
      <c r="A10" s="7"/>
      <c r="B10" s="7" t="s">
        <v>132</v>
      </c>
      <c r="C10" s="29" t="s">
        <v>55</v>
      </c>
      <c r="D10" s="50">
        <f>'Balance Sheet'!D13/'Income Statement'!D5</f>
        <v>4.5757812795286928E-3</v>
      </c>
      <c r="E10" s="50">
        <f>'Balance Sheet'!E13/'Income Statement'!E5</f>
        <v>1.9379604826057838E-3</v>
      </c>
      <c r="F10" s="50">
        <f>'Balance Sheet'!F13/'Income Statement'!F5</f>
        <v>1.3136795470922739E-3</v>
      </c>
      <c r="G10" s="50">
        <f>'Balance Sheet'!G13/'Income Statement'!G5</f>
        <v>3.3689827634191558E-4</v>
      </c>
      <c r="H10" s="50">
        <f>'Balance Sheet'!H13/'Income Statement'!H5</f>
        <v>2.8509957004465149E-3</v>
      </c>
      <c r="I10" s="62">
        <v>3.0000000000000001E-3</v>
      </c>
      <c r="J10" s="63">
        <v>3.0000000000000001E-3</v>
      </c>
      <c r="K10" s="63">
        <v>3.0000000000000001E-3</v>
      </c>
      <c r="L10" s="63">
        <v>3.0000000000000001E-3</v>
      </c>
      <c r="M10" s="63">
        <v>3.0000000000000001E-3</v>
      </c>
      <c r="N10" s="7"/>
      <c r="O10" s="60"/>
      <c r="P10" s="135"/>
      <c r="Q10" s="7"/>
      <c r="R10" s="7"/>
      <c r="S10" s="7"/>
      <c r="T10" s="7"/>
      <c r="U10" s="7"/>
      <c r="V10" s="7"/>
      <c r="W10" s="7"/>
      <c r="X10" s="7"/>
      <c r="Y10" s="7"/>
      <c r="Z10" s="7"/>
    </row>
    <row r="11" spans="1:26" ht="15" customHeight="1">
      <c r="A11" s="7"/>
      <c r="B11" s="7" t="s">
        <v>133</v>
      </c>
      <c r="C11" s="29" t="s">
        <v>55</v>
      </c>
      <c r="D11" s="61">
        <f>'Balance Sheet'!D20/'Income Assumptions'!F5</f>
        <v>3.4034984027486613E-3</v>
      </c>
      <c r="E11" s="61">
        <f>'Balance Sheet'!E20/'Income Assumptions'!G5</f>
        <v>6.0229957878253039E-3</v>
      </c>
      <c r="F11" s="61">
        <f>'Balance Sheet'!F20/'Income Assumptions'!H5</f>
        <v>2.894211138069465E-3</v>
      </c>
      <c r="G11" s="61">
        <f>'Balance Sheet'!G20/'Income Assumptions'!I5</f>
        <v>2.3686978402862892E-3</v>
      </c>
      <c r="H11" s="61">
        <f>'Balance Sheet'!H20/'Income Assumptions'!J5</f>
        <v>6.9654255467077998E-4</v>
      </c>
      <c r="I11" s="62">
        <v>1E-3</v>
      </c>
      <c r="J11" s="63">
        <v>1E-3</v>
      </c>
      <c r="K11" s="63">
        <v>1E-3</v>
      </c>
      <c r="L11" s="63">
        <v>1E-3</v>
      </c>
      <c r="M11" s="63">
        <v>1E-3</v>
      </c>
      <c r="N11" s="7"/>
      <c r="O11" s="60"/>
      <c r="P11" s="135"/>
      <c r="Q11" s="7"/>
      <c r="R11" s="7"/>
      <c r="S11" s="7"/>
      <c r="T11" s="7"/>
      <c r="U11" s="7"/>
      <c r="V11" s="7"/>
      <c r="W11" s="7"/>
      <c r="X11" s="7"/>
      <c r="Y11" s="7"/>
      <c r="Z11" s="7"/>
    </row>
    <row r="12" spans="1:26" ht="15" customHeight="1">
      <c r="A12" s="7"/>
      <c r="B12" s="7"/>
      <c r="C12" s="29"/>
      <c r="D12" s="29"/>
      <c r="E12" s="29"/>
      <c r="F12" s="29"/>
      <c r="G12" s="29"/>
      <c r="H12" s="29"/>
      <c r="I12" s="53"/>
      <c r="J12" s="30"/>
      <c r="K12" s="30"/>
      <c r="L12" s="30"/>
      <c r="M12" s="30"/>
      <c r="N12" s="7"/>
      <c r="O12" s="64"/>
      <c r="P12" s="64"/>
      <c r="Q12" s="7"/>
      <c r="R12" s="7"/>
      <c r="S12" s="7"/>
      <c r="T12" s="7"/>
      <c r="U12" s="7"/>
      <c r="V12" s="7"/>
      <c r="W12" s="7"/>
      <c r="X12" s="7"/>
      <c r="Y12" s="7"/>
      <c r="Z12" s="7"/>
    </row>
    <row r="13" spans="1:26" ht="15" customHeight="1">
      <c r="A13" s="7"/>
      <c r="B13" s="45" t="s">
        <v>134</v>
      </c>
      <c r="C13" s="46"/>
      <c r="D13" s="136"/>
      <c r="E13" s="136"/>
      <c r="F13" s="136"/>
      <c r="G13" s="136"/>
      <c r="H13" s="136"/>
      <c r="I13" s="48"/>
      <c r="J13" s="47"/>
      <c r="K13" s="47"/>
      <c r="L13" s="47"/>
      <c r="M13" s="47"/>
      <c r="N13" s="7"/>
      <c r="O13" s="60"/>
      <c r="P13" s="135"/>
      <c r="Q13" s="7"/>
      <c r="R13" s="7"/>
      <c r="S13" s="7"/>
      <c r="T13" s="7"/>
      <c r="U13" s="7"/>
      <c r="V13" s="7"/>
      <c r="W13" s="7"/>
      <c r="X13" s="7"/>
      <c r="Y13" s="7"/>
      <c r="Z13" s="7"/>
    </row>
    <row r="14" spans="1:26" ht="15" customHeight="1">
      <c r="A14" s="7"/>
      <c r="B14" s="7" t="s">
        <v>135</v>
      </c>
      <c r="C14" s="29" t="s">
        <v>55</v>
      </c>
      <c r="D14" s="50">
        <f>'Balance Sheet'!D28/'Income Statement'!D28</f>
        <v>0.11415313178042963</v>
      </c>
      <c r="E14" s="50">
        <f>'Balance Sheet'!E28/'Income Statement'!E28</f>
        <v>0.10900946995418202</v>
      </c>
      <c r="F14" s="50">
        <f>'Balance Sheet'!F28/'Income Statement'!F28</f>
        <v>7.712490642954839E-2</v>
      </c>
      <c r="G14" s="50">
        <f>'Balance Sheet'!G28/'Income Statement'!G28</f>
        <v>9.866660348064428E-2</v>
      </c>
      <c r="H14" s="50">
        <f>'Balance Sheet'!H28/'Income Statement'!H28</f>
        <v>0.10603155271208956</v>
      </c>
      <c r="I14" s="62">
        <v>0.11</v>
      </c>
      <c r="J14" s="63">
        <v>0.11</v>
      </c>
      <c r="K14" s="63">
        <v>0.11</v>
      </c>
      <c r="L14" s="63">
        <v>0.11</v>
      </c>
      <c r="M14" s="63">
        <v>0.11</v>
      </c>
      <c r="N14" s="7"/>
      <c r="O14" s="60"/>
      <c r="P14" s="135"/>
      <c r="Q14" s="7"/>
      <c r="R14" s="7"/>
      <c r="S14" s="7"/>
      <c r="T14" s="7"/>
      <c r="U14" s="7"/>
      <c r="V14" s="7"/>
      <c r="W14" s="7"/>
      <c r="X14" s="7"/>
      <c r="Y14" s="7"/>
      <c r="Z14" s="7"/>
    </row>
    <row r="15" spans="1:26" ht="15" customHeight="1">
      <c r="A15" s="7"/>
      <c r="B15" s="7" t="s">
        <v>136</v>
      </c>
      <c r="C15" s="29" t="s">
        <v>55</v>
      </c>
      <c r="D15" s="50">
        <f>'Balance Sheet'!D29/'Income Statement'!D28</f>
        <v>0.25510087377703078</v>
      </c>
      <c r="E15" s="50">
        <f>'Balance Sheet'!E29/'Income Statement'!E28</f>
        <v>0.16018173019526538</v>
      </c>
      <c r="F15" s="50">
        <f>'Balance Sheet'!F29/'Income Statement'!F28</f>
        <v>0.17729430806145263</v>
      </c>
      <c r="G15" s="50">
        <f>'Balance Sheet'!G29/'Income Statement'!G28</f>
        <v>0.13802058754964544</v>
      </c>
      <c r="H15" s="50">
        <f>'Balance Sheet'!H29/'Income Statement'!H28</f>
        <v>0.13489898625700522</v>
      </c>
      <c r="I15" s="62">
        <v>0.13500000000000001</v>
      </c>
      <c r="J15" s="63">
        <v>0.13</v>
      </c>
      <c r="K15" s="63">
        <v>0.13500000000000001</v>
      </c>
      <c r="L15" s="63">
        <v>0.13500000000000001</v>
      </c>
      <c r="M15" s="63">
        <v>0.13500000000000001</v>
      </c>
      <c r="N15" s="7"/>
      <c r="O15" s="60"/>
      <c r="P15" s="135"/>
      <c r="Q15" s="7"/>
      <c r="R15" s="7"/>
      <c r="S15" s="7"/>
      <c r="T15" s="7"/>
      <c r="U15" s="7"/>
      <c r="V15" s="7"/>
      <c r="W15" s="7"/>
      <c r="X15" s="7"/>
      <c r="Y15" s="7"/>
      <c r="Z15" s="7"/>
    </row>
    <row r="16" spans="1:26" ht="15" customHeight="1">
      <c r="A16" s="7"/>
      <c r="B16" s="7" t="s">
        <v>137</v>
      </c>
      <c r="C16" s="29" t="s">
        <v>55</v>
      </c>
      <c r="D16" s="50">
        <f>'Balance Sheet'!D30/'Income Assumptions'!F5</f>
        <v>3.0614425156926341E-2</v>
      </c>
      <c r="E16" s="50">
        <f>'Balance Sheet'!E30/'Income Assumptions'!G5</f>
        <v>1.9621781646561531E-2</v>
      </c>
      <c r="F16" s="50">
        <f>'Balance Sheet'!F30/'Income Assumptions'!H5</f>
        <v>2.0315923359653345E-2</v>
      </c>
      <c r="G16" s="50">
        <f>'Balance Sheet'!G30/'Income Assumptions'!I5</f>
        <v>2.0889184985531967E-2</v>
      </c>
      <c r="H16" s="50">
        <f>'Balance Sheet'!H30/'Income Assumptions'!J5</f>
        <v>3.993072943672768E-2</v>
      </c>
      <c r="I16" s="62">
        <v>0.04</v>
      </c>
      <c r="J16" s="63">
        <v>0.04</v>
      </c>
      <c r="K16" s="63">
        <v>0.04</v>
      </c>
      <c r="L16" s="63">
        <v>0.04</v>
      </c>
      <c r="M16" s="63">
        <v>0.04</v>
      </c>
      <c r="N16" s="7"/>
      <c r="O16" s="60"/>
      <c r="P16" s="135"/>
      <c r="Q16" s="7"/>
      <c r="R16" s="7"/>
      <c r="S16" s="7"/>
      <c r="T16" s="7"/>
      <c r="U16" s="7"/>
      <c r="V16" s="7"/>
      <c r="W16" s="7"/>
      <c r="X16" s="7"/>
      <c r="Y16" s="7"/>
      <c r="Z16" s="7"/>
    </row>
    <row r="17" spans="1:26" ht="15" customHeight="1">
      <c r="A17" s="7"/>
      <c r="B17" s="7"/>
      <c r="C17" s="29"/>
      <c r="D17" s="30"/>
      <c r="E17" s="30"/>
      <c r="F17" s="30"/>
      <c r="G17" s="30"/>
      <c r="H17" s="30"/>
      <c r="I17" s="53"/>
      <c r="J17" s="30"/>
      <c r="K17" s="30"/>
      <c r="L17" s="30"/>
      <c r="M17" s="30"/>
      <c r="N17" s="7"/>
      <c r="O17" s="7"/>
      <c r="P17" s="7"/>
      <c r="Q17" s="7"/>
      <c r="R17" s="7"/>
      <c r="S17" s="7"/>
      <c r="T17" s="7"/>
      <c r="U17" s="7"/>
      <c r="V17" s="7"/>
      <c r="W17" s="7"/>
      <c r="X17" s="7"/>
      <c r="Y17" s="7"/>
      <c r="Z17" s="7"/>
    </row>
    <row r="18" spans="1:26">
      <c r="A18" s="4"/>
      <c r="B18" s="137" t="s">
        <v>138</v>
      </c>
      <c r="C18" s="138"/>
      <c r="D18" s="139"/>
      <c r="E18" s="139"/>
      <c r="F18" s="139"/>
      <c r="G18" s="139"/>
      <c r="H18" s="139"/>
      <c r="I18" s="140"/>
      <c r="J18" s="139"/>
      <c r="K18" s="139"/>
      <c r="L18" s="139"/>
      <c r="M18" s="141"/>
      <c r="N18" s="4"/>
      <c r="O18" s="4"/>
      <c r="P18" s="4"/>
      <c r="Q18" s="4"/>
      <c r="R18" s="4"/>
      <c r="S18" s="4"/>
      <c r="T18" s="4"/>
      <c r="U18" s="4"/>
      <c r="V18" s="7"/>
      <c r="W18" s="7"/>
      <c r="X18" s="7"/>
      <c r="Y18" s="7"/>
      <c r="Z18" s="7"/>
    </row>
    <row r="19" spans="1:26">
      <c r="A19" s="4"/>
      <c r="B19" s="142" t="s">
        <v>139</v>
      </c>
      <c r="C19" s="143"/>
      <c r="D19" s="144"/>
      <c r="E19" s="144"/>
      <c r="F19" s="144"/>
      <c r="G19" s="144"/>
      <c r="H19" s="144"/>
      <c r="I19" s="145"/>
      <c r="J19" s="144"/>
      <c r="K19" s="144"/>
      <c r="L19" s="144"/>
      <c r="M19" s="146"/>
      <c r="N19" s="4"/>
      <c r="O19" s="4"/>
      <c r="P19" s="4"/>
      <c r="Q19" s="4"/>
      <c r="R19" s="4"/>
      <c r="S19" s="4"/>
      <c r="T19" s="4"/>
      <c r="U19" s="4"/>
      <c r="V19" s="7"/>
      <c r="W19" s="7"/>
      <c r="X19" s="7"/>
      <c r="Y19" s="7"/>
      <c r="Z19" s="7"/>
    </row>
    <row r="20" spans="1:26">
      <c r="A20" s="4"/>
      <c r="B20" s="147" t="s">
        <v>140</v>
      </c>
      <c r="C20" s="30" t="s">
        <v>53</v>
      </c>
      <c r="D20" s="20">
        <f>'Balance Sheet'!D10</f>
        <v>16399.98</v>
      </c>
      <c r="E20" s="20">
        <f>'Balance Sheet'!E10</f>
        <v>59974.224999999999</v>
      </c>
      <c r="F20" s="20">
        <f>'Balance Sheet'!F10</f>
        <v>17439.434000000001</v>
      </c>
      <c r="G20" s="20">
        <f>'Balance Sheet'!G10</f>
        <v>32046.51</v>
      </c>
      <c r="H20" s="20">
        <f>'Balance Sheet'!H10</f>
        <v>37012.042000000001</v>
      </c>
      <c r="I20" s="122">
        <f>'Balance Sheet'!I10</f>
        <v>37154.726111422977</v>
      </c>
      <c r="J20" s="20">
        <f>'Balance Sheet'!J10</f>
        <v>38109.753573765331</v>
      </c>
      <c r="K20" s="20">
        <f>'Balance Sheet'!K10</f>
        <v>39124.324592124969</v>
      </c>
      <c r="L20" s="20">
        <f>'Balance Sheet'!L10</f>
        <v>40096.623974384951</v>
      </c>
      <c r="M20" s="148">
        <f>'Balance Sheet'!M10</f>
        <v>41123.492518494138</v>
      </c>
      <c r="N20" s="4"/>
      <c r="O20" s="4"/>
      <c r="P20" s="4"/>
      <c r="Q20" s="4"/>
      <c r="R20" s="4"/>
      <c r="S20" s="4"/>
      <c r="T20" s="4"/>
      <c r="U20" s="4"/>
      <c r="V20" s="7"/>
      <c r="W20" s="7"/>
      <c r="X20" s="7"/>
      <c r="Y20" s="7"/>
      <c r="Z20" s="7"/>
    </row>
    <row r="21" spans="1:26">
      <c r="A21" s="4"/>
      <c r="B21" s="147" t="s">
        <v>141</v>
      </c>
      <c r="C21" s="30" t="s">
        <v>53</v>
      </c>
      <c r="D21" s="20">
        <f>'Balance Sheet'!D11</f>
        <v>6476.5590000000002</v>
      </c>
      <c r="E21" s="20">
        <f>'Balance Sheet'!E11</f>
        <v>6425.6869999999999</v>
      </c>
      <c r="F21" s="20">
        <f>'Balance Sheet'!F11</f>
        <v>11037.13</v>
      </c>
      <c r="G21" s="20">
        <f>'Balance Sheet'!G11</f>
        <v>11403.328</v>
      </c>
      <c r="H21" s="20">
        <f>'Balance Sheet'!H11</f>
        <v>8228.2559999999994</v>
      </c>
      <c r="I21" s="122">
        <f>'Balance Sheet'!I11</f>
        <v>7430.9452222845948</v>
      </c>
      <c r="J21" s="20">
        <f>'Balance Sheet'!J11</f>
        <v>7621.9507147530667</v>
      </c>
      <c r="K21" s="20">
        <f>'Balance Sheet'!K11</f>
        <v>7824.8649184249934</v>
      </c>
      <c r="L21" s="20">
        <f>'Balance Sheet'!L11</f>
        <v>8019.3247948769904</v>
      </c>
      <c r="M21" s="148">
        <f>'Balance Sheet'!M11</f>
        <v>8224.6985036988281</v>
      </c>
      <c r="N21" s="4"/>
      <c r="O21" s="4"/>
      <c r="P21" s="4"/>
      <c r="Q21" s="4"/>
      <c r="R21" s="4"/>
      <c r="S21" s="4"/>
      <c r="T21" s="4"/>
      <c r="U21" s="4"/>
      <c r="V21" s="7"/>
      <c r="W21" s="7"/>
      <c r="X21" s="7"/>
      <c r="Y21" s="7"/>
      <c r="Z21" s="7"/>
    </row>
    <row r="22" spans="1:26">
      <c r="A22" s="4"/>
      <c r="B22" s="147" t="s">
        <v>142</v>
      </c>
      <c r="C22" s="30" t="s">
        <v>53</v>
      </c>
      <c r="D22" s="20">
        <f>'Balance Sheet'!D12</f>
        <v>9554.09</v>
      </c>
      <c r="E22" s="20">
        <f>'Balance Sheet'!E12</f>
        <v>4031.4259999999999</v>
      </c>
      <c r="F22" s="20">
        <f>'Balance Sheet'!F12</f>
        <v>3398.174</v>
      </c>
      <c r="G22" s="20">
        <f>'Balance Sheet'!G12</f>
        <v>3457.66</v>
      </c>
      <c r="H22" s="20">
        <f>'Balance Sheet'!H12</f>
        <v>4059.4110000000001</v>
      </c>
      <c r="I22" s="122">
        <f>'Balance Sheet'!I12</f>
        <v>3901.2462416994122</v>
      </c>
      <c r="J22" s="20">
        <f>'Balance Sheet'!J12</f>
        <v>3734.755850229003</v>
      </c>
      <c r="K22" s="20">
        <f>'Balance Sheet'!K12</f>
        <v>3286.4432657384968</v>
      </c>
      <c r="L22" s="20">
        <f>'Balance Sheet'!L12</f>
        <v>3368.1164138483359</v>
      </c>
      <c r="M22" s="148">
        <f>'Balance Sheet'!M12</f>
        <v>3454.3733715535077</v>
      </c>
      <c r="N22" s="4"/>
      <c r="O22" s="4"/>
      <c r="P22" s="4"/>
      <c r="Q22" s="4"/>
      <c r="R22" s="4"/>
      <c r="S22" s="4"/>
      <c r="T22" s="4"/>
      <c r="U22" s="4"/>
      <c r="V22" s="7"/>
      <c r="W22" s="7"/>
      <c r="X22" s="7"/>
      <c r="Y22" s="7"/>
      <c r="Z22" s="7"/>
    </row>
    <row r="23" spans="1:26">
      <c r="A23" s="4"/>
      <c r="B23" s="147" t="s">
        <v>143</v>
      </c>
      <c r="C23" s="30" t="s">
        <v>53</v>
      </c>
      <c r="D23" s="20">
        <f>'Balance Sheet'!D13+'Balance Sheet'!D20</f>
        <v>1597.683</v>
      </c>
      <c r="E23" s="20">
        <f>'Balance Sheet'!E13+'Balance Sheet'!E20</f>
        <v>1735.3390000000002</v>
      </c>
      <c r="F23" s="20">
        <f>'Balance Sheet'!F13+'Balance Sheet'!F20</f>
        <v>972.404</v>
      </c>
      <c r="G23" s="20">
        <f>'Balance Sheet'!G13+'Balance Sheet'!G20</f>
        <v>654.70299999999997</v>
      </c>
      <c r="H23" s="20">
        <f>'Balance Sheet'!H13+'Balance Sheet'!H20</f>
        <v>859.11899999999991</v>
      </c>
      <c r="I23" s="122">
        <f>'Balance Sheet'!I13+'Balance Sheet'!I20</f>
        <v>990.79269630461272</v>
      </c>
      <c r="J23" s="20">
        <f>'Balance Sheet'!J13+'Balance Sheet'!J20</f>
        <v>1016.2600953004089</v>
      </c>
      <c r="K23" s="20">
        <f>'Balance Sheet'!K13+'Balance Sheet'!K20</f>
        <v>1043.3153224566659</v>
      </c>
      <c r="L23" s="20">
        <f>'Balance Sheet'!L13+'Balance Sheet'!L20</f>
        <v>1069.2433059835989</v>
      </c>
      <c r="M23" s="148">
        <f>'Balance Sheet'!M13+'Balance Sheet'!M20</f>
        <v>1096.6264671598437</v>
      </c>
      <c r="N23" s="4"/>
      <c r="O23" s="4"/>
      <c r="P23" s="4"/>
      <c r="Q23" s="4"/>
      <c r="R23" s="4"/>
      <c r="S23" s="4"/>
      <c r="T23" s="4"/>
      <c r="U23" s="4"/>
      <c r="V23" s="7"/>
      <c r="W23" s="7"/>
      <c r="X23" s="7"/>
      <c r="Y23" s="7"/>
      <c r="Z23" s="7"/>
    </row>
    <row r="24" spans="1:26">
      <c r="A24" s="4"/>
      <c r="B24" s="88" t="s">
        <v>144</v>
      </c>
      <c r="C24" s="64" t="s">
        <v>53</v>
      </c>
      <c r="D24" s="57">
        <f t="shared" ref="D24:M24" si="0">SUM(D20:D23)</f>
        <v>34028.311999999998</v>
      </c>
      <c r="E24" s="57">
        <f t="shared" si="0"/>
        <v>72166.677000000011</v>
      </c>
      <c r="F24" s="57">
        <f t="shared" si="0"/>
        <v>32847.142</v>
      </c>
      <c r="G24" s="57">
        <f t="shared" si="0"/>
        <v>47562.200999999994</v>
      </c>
      <c r="H24" s="57">
        <f t="shared" si="0"/>
        <v>50158.828000000001</v>
      </c>
      <c r="I24" s="94">
        <f t="shared" si="0"/>
        <v>49477.710271711592</v>
      </c>
      <c r="J24" s="57">
        <f t="shared" si="0"/>
        <v>50482.720234047811</v>
      </c>
      <c r="K24" s="57">
        <f t="shared" si="0"/>
        <v>51278.948098745124</v>
      </c>
      <c r="L24" s="57">
        <f t="shared" si="0"/>
        <v>52553.308489093877</v>
      </c>
      <c r="M24" s="95">
        <f t="shared" si="0"/>
        <v>53899.19086090631</v>
      </c>
      <c r="N24" s="4"/>
      <c r="O24" s="4"/>
      <c r="P24" s="4"/>
      <c r="Q24" s="4"/>
      <c r="R24" s="4"/>
      <c r="S24" s="4"/>
      <c r="T24" s="4"/>
      <c r="U24" s="4"/>
      <c r="V24" s="7"/>
      <c r="W24" s="7"/>
      <c r="X24" s="7"/>
      <c r="Y24" s="7"/>
      <c r="Z24" s="7"/>
    </row>
    <row r="25" spans="1:26">
      <c r="A25" s="4"/>
      <c r="B25" s="112"/>
      <c r="C25" s="4"/>
      <c r="D25" s="149"/>
      <c r="E25" s="149"/>
      <c r="F25" s="149"/>
      <c r="G25" s="149"/>
      <c r="H25" s="149"/>
      <c r="I25" s="150"/>
      <c r="J25" s="149"/>
      <c r="K25" s="149"/>
      <c r="L25" s="149"/>
      <c r="M25" s="151"/>
      <c r="N25" s="4"/>
      <c r="O25" s="4"/>
      <c r="P25" s="4"/>
      <c r="Q25" s="4"/>
      <c r="R25" s="4"/>
      <c r="S25" s="4"/>
      <c r="T25" s="4"/>
      <c r="U25" s="4"/>
      <c r="V25" s="7"/>
      <c r="W25" s="7"/>
      <c r="X25" s="7"/>
      <c r="Y25" s="7"/>
      <c r="Z25" s="7"/>
    </row>
    <row r="26" spans="1:26">
      <c r="A26" s="4"/>
      <c r="B26" s="88" t="s">
        <v>134</v>
      </c>
      <c r="C26" s="4"/>
      <c r="D26" s="149"/>
      <c r="E26" s="149"/>
      <c r="F26" s="149"/>
      <c r="G26" s="149"/>
      <c r="H26" s="149"/>
      <c r="I26" s="150"/>
      <c r="J26" s="149"/>
      <c r="K26" s="149"/>
      <c r="L26" s="149"/>
      <c r="M26" s="151"/>
      <c r="N26" s="4"/>
      <c r="O26" s="4"/>
      <c r="P26" s="4"/>
      <c r="Q26" s="4"/>
      <c r="R26" s="4"/>
      <c r="S26" s="4"/>
      <c r="T26" s="4"/>
      <c r="U26" s="4"/>
      <c r="V26" s="7"/>
      <c r="W26" s="7"/>
      <c r="X26" s="7"/>
      <c r="Y26" s="7"/>
      <c r="Z26" s="7"/>
    </row>
    <row r="27" spans="1:26">
      <c r="A27" s="4"/>
      <c r="B27" s="147" t="s">
        <v>145</v>
      </c>
      <c r="C27" s="30" t="s">
        <v>53</v>
      </c>
      <c r="D27" s="20">
        <f>'Balance Sheet'!D28</f>
        <v>18252.348000000002</v>
      </c>
      <c r="E27" s="20">
        <f>'Balance Sheet'!E28</f>
        <v>18638.062000000002</v>
      </c>
      <c r="F27" s="20">
        <f>'Balance Sheet'!F28</f>
        <v>13620.018</v>
      </c>
      <c r="G27" s="20">
        <f>'Balance Sheet'!G28</f>
        <v>18588.402999999998</v>
      </c>
      <c r="H27" s="20">
        <f>'Balance Sheet'!H28</f>
        <v>20692.763999999999</v>
      </c>
      <c r="I27" s="122">
        <f>'Balance Sheet'!I28</f>
        <v>21043.49659661391</v>
      </c>
      <c r="J27" s="20">
        <f>'Balance Sheet'!J28</f>
        <v>20270.945670210363</v>
      </c>
      <c r="K27" s="20">
        <f>'Balance Sheet'!K28</f>
        <v>19502.537691924121</v>
      </c>
      <c r="L27" s="20">
        <f>'Balance Sheet'!L28</f>
        <v>18757.714336620691</v>
      </c>
      <c r="M27" s="148">
        <f>'Balance Sheet'!M28</f>
        <v>18593.725295929602</v>
      </c>
      <c r="N27" s="4"/>
      <c r="O27" s="4"/>
      <c r="P27" s="4"/>
      <c r="Q27" s="4"/>
      <c r="R27" s="4"/>
      <c r="S27" s="4"/>
      <c r="T27" s="4"/>
      <c r="U27" s="4"/>
      <c r="V27" s="7"/>
      <c r="W27" s="7"/>
      <c r="X27" s="7"/>
      <c r="Y27" s="7"/>
      <c r="Z27" s="7"/>
    </row>
    <row r="28" spans="1:26">
      <c r="A28" s="4"/>
      <c r="B28" s="147" t="s">
        <v>146</v>
      </c>
      <c r="C28" s="30" t="s">
        <v>53</v>
      </c>
      <c r="D28" s="20">
        <f>'Balance Sheet'!D29</f>
        <v>40788.981</v>
      </c>
      <c r="E28" s="20">
        <f>'Balance Sheet'!E29</f>
        <v>27387.318000000003</v>
      </c>
      <c r="F28" s="20">
        <f>'Balance Sheet'!F29</f>
        <v>31309.621999999999</v>
      </c>
      <c r="G28" s="20">
        <f>'Balance Sheet'!G29</f>
        <v>26002.539999999997</v>
      </c>
      <c r="H28" s="20">
        <f>'Balance Sheet'!H29</f>
        <v>26326.436000000002</v>
      </c>
      <c r="I28" s="122">
        <f>'Balance Sheet'!I29</f>
        <v>25826.109459480707</v>
      </c>
      <c r="J28" s="20">
        <f>'Balance Sheet'!J29</f>
        <v>23956.572155703157</v>
      </c>
      <c r="K28" s="20">
        <f>'Balance Sheet'!K29</f>
        <v>23934.932621906875</v>
      </c>
      <c r="L28" s="20">
        <f>'Balance Sheet'!L29</f>
        <v>23020.831231307213</v>
      </c>
      <c r="M28" s="148">
        <f>'Balance Sheet'!M29</f>
        <v>22819.57195409542</v>
      </c>
      <c r="N28" s="4"/>
      <c r="O28" s="4"/>
      <c r="P28" s="4"/>
      <c r="Q28" s="4"/>
      <c r="R28" s="4"/>
      <c r="S28" s="4"/>
      <c r="T28" s="4"/>
      <c r="U28" s="4"/>
      <c r="V28" s="7"/>
      <c r="W28" s="7"/>
      <c r="X28" s="7"/>
      <c r="Y28" s="7"/>
      <c r="Z28" s="7"/>
    </row>
    <row r="29" spans="1:26">
      <c r="A29" s="4"/>
      <c r="B29" s="147" t="s">
        <v>147</v>
      </c>
      <c r="C29" s="30" t="s">
        <v>53</v>
      </c>
      <c r="D29" s="20">
        <f>'Balance Sheet'!D30</f>
        <v>6129.8950000000004</v>
      </c>
      <c r="E29" s="20">
        <f>'Balance Sheet'!E30</f>
        <v>4277.18</v>
      </c>
      <c r="F29" s="20">
        <f>'Balance Sheet'!F30</f>
        <v>4694.8190000000004</v>
      </c>
      <c r="G29" s="20">
        <f>'Balance Sheet'!G30</f>
        <v>5054.7870000000003</v>
      </c>
      <c r="H29" s="20">
        <f>'Balance Sheet'!H30</f>
        <v>9670.1560000000009</v>
      </c>
      <c r="I29" s="122">
        <f>'Balance Sheet'!I30</f>
        <v>9907.9269630461276</v>
      </c>
      <c r="J29" s="20">
        <f>'Balance Sheet'!J30</f>
        <v>10162.600953004088</v>
      </c>
      <c r="K29" s="20">
        <f>'Balance Sheet'!K30</f>
        <v>10433.153224566659</v>
      </c>
      <c r="L29" s="20">
        <f>'Balance Sheet'!L30</f>
        <v>10692.433059835988</v>
      </c>
      <c r="M29" s="148">
        <f>'Balance Sheet'!M30</f>
        <v>10966.264671598437</v>
      </c>
      <c r="N29" s="4"/>
      <c r="O29" s="4"/>
      <c r="P29" s="4"/>
      <c r="Q29" s="4"/>
      <c r="R29" s="4"/>
      <c r="S29" s="4"/>
      <c r="T29" s="4"/>
      <c r="U29" s="4"/>
      <c r="V29" s="7"/>
      <c r="W29" s="7"/>
      <c r="X29" s="7"/>
      <c r="Y29" s="7"/>
      <c r="Z29" s="7"/>
    </row>
    <row r="30" spans="1:26">
      <c r="A30" s="4"/>
      <c r="B30" s="147" t="s">
        <v>148</v>
      </c>
      <c r="C30" s="30" t="s">
        <v>53</v>
      </c>
      <c r="D30" s="20">
        <f>'Balance Sheet'!D38</f>
        <v>8851.1299999999992</v>
      </c>
      <c r="E30" s="20">
        <f>'Balance Sheet'!E38</f>
        <v>8592.6679999999997</v>
      </c>
      <c r="F30" s="20">
        <f>'Balance Sheet'!F38</f>
        <v>8270.6939999999995</v>
      </c>
      <c r="G30" s="20">
        <f>'Balance Sheet'!G38</f>
        <v>8154.2520000000004</v>
      </c>
      <c r="H30" s="20">
        <f>'Balance Sheet'!H38</f>
        <v>8577.5849999999991</v>
      </c>
      <c r="I30" s="122">
        <f>'Balance Sheet'!I38</f>
        <v>8500</v>
      </c>
      <c r="J30" s="20">
        <f>'Balance Sheet'!J38</f>
        <v>8500</v>
      </c>
      <c r="K30" s="20">
        <f>'Balance Sheet'!K38</f>
        <v>8500</v>
      </c>
      <c r="L30" s="20">
        <f>'Balance Sheet'!L38</f>
        <v>8500</v>
      </c>
      <c r="M30" s="148">
        <f>'Balance Sheet'!M38</f>
        <v>8500</v>
      </c>
      <c r="N30" s="4"/>
      <c r="O30" s="4"/>
      <c r="P30" s="4"/>
      <c r="Q30" s="4"/>
      <c r="R30" s="4"/>
      <c r="S30" s="4"/>
      <c r="T30" s="4"/>
      <c r="U30" s="4"/>
      <c r="V30" s="7"/>
      <c r="W30" s="7"/>
      <c r="X30" s="7"/>
      <c r="Y30" s="7"/>
      <c r="Z30" s="7"/>
    </row>
    <row r="31" spans="1:26">
      <c r="A31" s="4"/>
      <c r="B31" s="88" t="s">
        <v>149</v>
      </c>
      <c r="C31" s="64" t="s">
        <v>53</v>
      </c>
      <c r="D31" s="57">
        <f t="shared" ref="D31:M31" si="1">SUM(D27:D30)</f>
        <v>74022.354000000007</v>
      </c>
      <c r="E31" s="57">
        <f t="shared" si="1"/>
        <v>58895.228000000003</v>
      </c>
      <c r="F31" s="57">
        <f t="shared" si="1"/>
        <v>57895.153000000006</v>
      </c>
      <c r="G31" s="57">
        <f t="shared" si="1"/>
        <v>57799.981999999996</v>
      </c>
      <c r="H31" s="57">
        <f t="shared" si="1"/>
        <v>65266.940999999999</v>
      </c>
      <c r="I31" s="94">
        <f t="shared" si="1"/>
        <v>65277.533019140748</v>
      </c>
      <c r="J31" s="57">
        <f t="shared" si="1"/>
        <v>62890.118778917611</v>
      </c>
      <c r="K31" s="57">
        <f t="shared" si="1"/>
        <v>62370.62353839766</v>
      </c>
      <c r="L31" s="57">
        <f t="shared" si="1"/>
        <v>60970.978627763892</v>
      </c>
      <c r="M31" s="95">
        <f t="shared" si="1"/>
        <v>60879.561921623455</v>
      </c>
      <c r="N31" s="4"/>
      <c r="O31" s="4"/>
      <c r="P31" s="4"/>
      <c r="Q31" s="4"/>
      <c r="R31" s="4"/>
      <c r="S31" s="4"/>
      <c r="T31" s="4"/>
      <c r="U31" s="4"/>
      <c r="V31" s="7"/>
      <c r="W31" s="7"/>
      <c r="X31" s="7"/>
      <c r="Y31" s="7"/>
      <c r="Z31" s="7"/>
    </row>
    <row r="32" spans="1:26">
      <c r="A32" s="4"/>
      <c r="B32" s="112"/>
      <c r="C32" s="4"/>
      <c r="D32" s="149"/>
      <c r="E32" s="149"/>
      <c r="F32" s="149"/>
      <c r="G32" s="149"/>
      <c r="H32" s="149"/>
      <c r="I32" s="150"/>
      <c r="J32" s="149"/>
      <c r="K32" s="149"/>
      <c r="L32" s="149"/>
      <c r="M32" s="151"/>
      <c r="N32" s="4"/>
      <c r="O32" s="4"/>
      <c r="P32" s="4"/>
      <c r="Q32" s="4"/>
      <c r="R32" s="4"/>
      <c r="S32" s="4"/>
      <c r="T32" s="4"/>
      <c r="U32" s="4"/>
      <c r="V32" s="7"/>
      <c r="W32" s="7"/>
      <c r="X32" s="7"/>
      <c r="Y32" s="7"/>
      <c r="Z32" s="7"/>
    </row>
    <row r="33" spans="1:26">
      <c r="A33" s="4"/>
      <c r="B33" s="88" t="s">
        <v>150</v>
      </c>
      <c r="C33" s="64" t="s">
        <v>53</v>
      </c>
      <c r="D33" s="57">
        <f t="shared" ref="D33:M33" si="2">D24-D31</f>
        <v>-39994.042000000009</v>
      </c>
      <c r="E33" s="57">
        <f t="shared" si="2"/>
        <v>13271.449000000008</v>
      </c>
      <c r="F33" s="57">
        <f t="shared" si="2"/>
        <v>-25048.011000000006</v>
      </c>
      <c r="G33" s="57">
        <f t="shared" si="2"/>
        <v>-10237.781000000003</v>
      </c>
      <c r="H33" s="57">
        <f t="shared" si="2"/>
        <v>-15108.112999999998</v>
      </c>
      <c r="I33" s="94">
        <f t="shared" si="2"/>
        <v>-15799.822747429156</v>
      </c>
      <c r="J33" s="57">
        <f t="shared" si="2"/>
        <v>-12407.3985448698</v>
      </c>
      <c r="K33" s="57">
        <f t="shared" si="2"/>
        <v>-11091.675439652536</v>
      </c>
      <c r="L33" s="57">
        <f t="shared" si="2"/>
        <v>-8417.6701386700151</v>
      </c>
      <c r="M33" s="95">
        <f t="shared" si="2"/>
        <v>-6980.3710607171452</v>
      </c>
      <c r="N33" s="4"/>
      <c r="O33" s="4"/>
      <c r="P33" s="4"/>
      <c r="Q33" s="4"/>
      <c r="R33" s="4"/>
      <c r="S33" s="4"/>
      <c r="T33" s="4"/>
      <c r="U33" s="4"/>
      <c r="V33" s="7"/>
      <c r="W33" s="7"/>
      <c r="X33" s="7"/>
      <c r="Y33" s="7"/>
      <c r="Z33" s="7"/>
    </row>
    <row r="34" spans="1:26">
      <c r="A34" s="4"/>
      <c r="B34" s="88" t="s">
        <v>151</v>
      </c>
      <c r="C34" s="64" t="s">
        <v>53</v>
      </c>
      <c r="D34" s="149"/>
      <c r="E34" s="57">
        <f t="shared" ref="E34:M34" si="3">D33-E33</f>
        <v>-53265.491000000016</v>
      </c>
      <c r="F34" s="57">
        <f t="shared" si="3"/>
        <v>38319.460000000014</v>
      </c>
      <c r="G34" s="57">
        <f t="shared" si="3"/>
        <v>-14810.230000000003</v>
      </c>
      <c r="H34" s="57">
        <f t="shared" si="3"/>
        <v>4870.3319999999949</v>
      </c>
      <c r="I34" s="94">
        <f t="shared" si="3"/>
        <v>691.7097474291586</v>
      </c>
      <c r="J34" s="57">
        <f t="shared" si="3"/>
        <v>-3392.4242025593558</v>
      </c>
      <c r="K34" s="57">
        <f t="shared" si="3"/>
        <v>-1315.7231052172647</v>
      </c>
      <c r="L34" s="57">
        <f t="shared" si="3"/>
        <v>-2674.0053009825206</v>
      </c>
      <c r="M34" s="95">
        <f t="shared" si="3"/>
        <v>-1437.29907795287</v>
      </c>
      <c r="N34" s="4"/>
      <c r="O34" s="4"/>
      <c r="P34" s="4"/>
      <c r="Q34" s="4"/>
      <c r="R34" s="4"/>
      <c r="S34" s="4"/>
      <c r="T34" s="4"/>
      <c r="U34" s="4"/>
      <c r="V34" s="7"/>
      <c r="W34" s="7"/>
      <c r="X34" s="7"/>
      <c r="Y34" s="7"/>
      <c r="Z34" s="7"/>
    </row>
    <row r="35" spans="1:26">
      <c r="A35" s="4"/>
      <c r="B35" s="147" t="s">
        <v>152</v>
      </c>
      <c r="C35" s="30" t="s">
        <v>55</v>
      </c>
      <c r="D35" s="22">
        <f>D33/'Income Assumptions'!F5</f>
        <v>-0.19974152991722841</v>
      </c>
      <c r="E35" s="22">
        <f>E33/'Income Assumptions'!G5</f>
        <v>6.088344993932393E-2</v>
      </c>
      <c r="F35" s="22">
        <f>F33/'Income Assumptions'!H5</f>
        <v>-0.10839043460200574</v>
      </c>
      <c r="G35" s="22">
        <f>G33/'Income Assumptions'!I5</f>
        <v>-4.2308192442206662E-2</v>
      </c>
      <c r="H35" s="22">
        <f>H33/'Income Assumptions'!J5</f>
        <v>-6.2385547089675489E-2</v>
      </c>
      <c r="I35" s="152">
        <f>I33/'Income Assumptions'!K5</f>
        <v>-6.3786593528023364E-2</v>
      </c>
      <c r="J35" s="21">
        <f>J33/'Income Assumptions'!L5</f>
        <v>-4.8835523906710691E-2</v>
      </c>
      <c r="K35" s="21">
        <f>K33/'Income Assumptions'!M5</f>
        <v>-4.2524729392587751E-2</v>
      </c>
      <c r="L35" s="21">
        <f>L33/'Income Assumptions'!N5</f>
        <v>-3.149019532435262E-2</v>
      </c>
      <c r="M35" s="153">
        <f>M33/'Income Assumptions'!O5</f>
        <v>-2.5461253288170692E-2</v>
      </c>
      <c r="N35" s="4"/>
      <c r="O35" s="4"/>
      <c r="P35" s="4"/>
      <c r="Q35" s="4"/>
      <c r="R35" s="4"/>
      <c r="S35" s="4"/>
      <c r="T35" s="4"/>
      <c r="U35" s="4"/>
      <c r="V35" s="7"/>
      <c r="W35" s="7"/>
      <c r="X35" s="7"/>
      <c r="Y35" s="7"/>
      <c r="Z35" s="7"/>
    </row>
    <row r="36" spans="1:26">
      <c r="A36" s="4"/>
      <c r="B36" s="154" t="s">
        <v>153</v>
      </c>
      <c r="C36" s="155"/>
      <c r="D36" s="156"/>
      <c r="E36" s="156"/>
      <c r="F36" s="156"/>
      <c r="G36" s="156"/>
      <c r="H36" s="156"/>
      <c r="I36" s="157">
        <f>I34-SUM('Cash Flow'!I25:I31)</f>
        <v>3.1832314562052488E-12</v>
      </c>
      <c r="J36" s="158">
        <f>J34-SUM('Cash Flow'!J25:J31)</f>
        <v>-3.637978807091713E-12</v>
      </c>
      <c r="K36" s="158">
        <f>K34-SUM('Cash Flow'!K25:K31)</f>
        <v>2.2737367544323206E-12</v>
      </c>
      <c r="L36" s="158">
        <f>L34-SUM('Cash Flow'!L25:L31)</f>
        <v>-3.637978807091713E-12</v>
      </c>
      <c r="M36" s="159">
        <f>M34-SUM('Cash Flow'!M25:M31)</f>
        <v>8.6401996668428183E-12</v>
      </c>
      <c r="N36" s="4"/>
      <c r="O36" s="4"/>
      <c r="P36" s="4"/>
      <c r="Q36" s="4"/>
      <c r="R36" s="4"/>
      <c r="S36" s="4"/>
      <c r="T36" s="4"/>
      <c r="U36" s="4"/>
      <c r="V36" s="7"/>
      <c r="W36" s="7"/>
      <c r="X36" s="7"/>
      <c r="Y36" s="7"/>
      <c r="Z36" s="7"/>
    </row>
    <row r="37" spans="1:26">
      <c r="A37" s="7"/>
      <c r="B37" s="14"/>
      <c r="C37" s="55"/>
      <c r="D37" s="57"/>
      <c r="E37" s="57"/>
      <c r="F37" s="57"/>
      <c r="G37" s="57"/>
      <c r="H37" s="57"/>
      <c r="I37" s="94"/>
      <c r="J37" s="57"/>
      <c r="K37" s="57"/>
      <c r="L37" s="57"/>
      <c r="M37" s="57"/>
      <c r="R37" s="7"/>
      <c r="S37" s="7"/>
      <c r="T37" s="7"/>
      <c r="U37" s="7"/>
      <c r="V37" s="7"/>
      <c r="W37" s="7"/>
      <c r="X37" s="7"/>
      <c r="Y37" s="7"/>
      <c r="Z37" s="7"/>
    </row>
    <row r="38" spans="1:26">
      <c r="A38" s="7"/>
      <c r="B38" s="45" t="s">
        <v>154</v>
      </c>
      <c r="C38" s="46"/>
      <c r="D38" s="47"/>
      <c r="E38" s="47"/>
      <c r="F38" s="47"/>
      <c r="G38" s="47"/>
      <c r="H38" s="47"/>
      <c r="I38" s="48"/>
      <c r="J38" s="47"/>
      <c r="K38" s="47"/>
      <c r="L38" s="47"/>
      <c r="M38" s="47"/>
      <c r="R38" s="7"/>
      <c r="S38" s="7"/>
      <c r="T38" s="7"/>
      <c r="U38" s="7"/>
      <c r="V38" s="7"/>
      <c r="W38" s="7"/>
      <c r="X38" s="7"/>
      <c r="Y38" s="7"/>
      <c r="Z38" s="7"/>
    </row>
    <row r="39" spans="1:26">
      <c r="A39" s="7"/>
      <c r="B39" s="14"/>
      <c r="C39" s="55"/>
      <c r="D39" s="57"/>
      <c r="E39" s="57"/>
      <c r="F39" s="57"/>
      <c r="G39" s="57"/>
      <c r="H39" s="57"/>
      <c r="I39" s="94"/>
      <c r="J39" s="57"/>
      <c r="K39" s="57"/>
      <c r="L39" s="57"/>
      <c r="M39" s="57"/>
      <c r="R39" s="7"/>
      <c r="S39" s="7"/>
      <c r="T39" s="7"/>
      <c r="U39" s="7"/>
      <c r="V39" s="7"/>
      <c r="W39" s="7"/>
      <c r="X39" s="7"/>
      <c r="Y39" s="7"/>
      <c r="Z39" s="7"/>
    </row>
    <row r="40" spans="1:26" ht="15.6">
      <c r="A40" s="7"/>
      <c r="B40" s="160" t="s">
        <v>155</v>
      </c>
      <c r="C40" s="626" t="s">
        <v>156</v>
      </c>
      <c r="D40" s="627"/>
      <c r="E40" s="161" t="s">
        <v>157</v>
      </c>
      <c r="F40" s="57"/>
      <c r="G40" s="57"/>
      <c r="H40" s="57"/>
      <c r="I40" s="94"/>
      <c r="J40" s="57"/>
      <c r="K40" s="57"/>
      <c r="L40" s="57"/>
      <c r="M40" s="57"/>
      <c r="R40" s="7"/>
      <c r="S40" s="7"/>
      <c r="T40" s="7"/>
      <c r="U40" s="7"/>
      <c r="V40" s="7"/>
      <c r="W40" s="7"/>
      <c r="X40" s="7"/>
      <c r="Y40" s="7"/>
      <c r="Z40" s="7"/>
    </row>
    <row r="41" spans="1:26" ht="15.75" customHeight="1">
      <c r="A41" s="7"/>
      <c r="B41" s="162" t="s">
        <v>158</v>
      </c>
      <c r="C41" s="163" t="s">
        <v>159</v>
      </c>
      <c r="D41" s="164" t="s">
        <v>160</v>
      </c>
      <c r="E41" s="162" t="s">
        <v>161</v>
      </c>
      <c r="F41" s="57"/>
      <c r="G41" s="14"/>
      <c r="H41" s="4"/>
      <c r="I41" s="112"/>
      <c r="K41" s="30"/>
      <c r="R41" s="7"/>
      <c r="S41" s="7"/>
      <c r="T41" s="7"/>
      <c r="U41" s="7"/>
      <c r="V41" s="7"/>
      <c r="W41" s="7"/>
      <c r="X41" s="7"/>
      <c r="Y41" s="7"/>
      <c r="Z41" s="7"/>
    </row>
    <row r="42" spans="1:26" ht="15.75" customHeight="1">
      <c r="A42" s="7"/>
      <c r="B42" s="165" t="s">
        <v>162</v>
      </c>
      <c r="C42" s="166">
        <v>45664</v>
      </c>
      <c r="D42" s="166">
        <v>2150</v>
      </c>
      <c r="E42" s="167">
        <f t="shared" ref="E42:E46" si="4">C42/D42</f>
        <v>21.239069767441862</v>
      </c>
      <c r="F42" s="57"/>
      <c r="G42" s="14"/>
      <c r="H42" s="4"/>
      <c r="I42" s="112"/>
      <c r="J42" s="4"/>
      <c r="K42" s="30"/>
      <c r="R42" s="7"/>
      <c r="S42" s="7"/>
      <c r="T42" s="7"/>
      <c r="U42" s="7"/>
      <c r="V42" s="7"/>
      <c r="W42" s="7"/>
      <c r="X42" s="7"/>
      <c r="Y42" s="7"/>
      <c r="Z42" s="7"/>
    </row>
    <row r="43" spans="1:26" ht="15.75" customHeight="1">
      <c r="A43" s="7"/>
      <c r="B43" s="168" t="s">
        <v>163</v>
      </c>
      <c r="C43" s="169">
        <v>237350</v>
      </c>
      <c r="D43" s="169">
        <v>48709</v>
      </c>
      <c r="E43" s="170">
        <f t="shared" si="4"/>
        <v>4.8728161120121536</v>
      </c>
      <c r="F43" s="57"/>
      <c r="G43" s="7"/>
      <c r="H43" s="4"/>
      <c r="I43" s="171"/>
      <c r="J43" s="4"/>
      <c r="K43" s="30"/>
      <c r="R43" s="7"/>
      <c r="S43" s="7"/>
      <c r="T43" s="7"/>
      <c r="U43" s="7"/>
      <c r="V43" s="7"/>
      <c r="W43" s="7"/>
      <c r="X43" s="7"/>
      <c r="Y43" s="7"/>
      <c r="Z43" s="7"/>
    </row>
    <row r="44" spans="1:26" ht="15.75" customHeight="1">
      <c r="A44" s="7"/>
      <c r="B44" s="168" t="s">
        <v>164</v>
      </c>
      <c r="C44" s="169">
        <v>11968</v>
      </c>
      <c r="D44" s="169">
        <v>4346</v>
      </c>
      <c r="E44" s="170">
        <f t="shared" si="4"/>
        <v>2.7537965945697191</v>
      </c>
      <c r="F44" s="57"/>
      <c r="G44" s="7"/>
      <c r="H44" s="4"/>
      <c r="I44" s="172"/>
      <c r="J44" s="4"/>
      <c r="K44" s="30"/>
      <c r="R44" s="7"/>
      <c r="S44" s="7"/>
      <c r="T44" s="7"/>
      <c r="U44" s="7"/>
      <c r="V44" s="7"/>
      <c r="W44" s="7"/>
      <c r="X44" s="7"/>
      <c r="Y44" s="7"/>
      <c r="Z44" s="7"/>
    </row>
    <row r="45" spans="1:26" ht="15.75" customHeight="1">
      <c r="A45" s="7"/>
      <c r="B45" s="168" t="s">
        <v>165</v>
      </c>
      <c r="C45" s="169">
        <v>2833</v>
      </c>
      <c r="D45" s="169">
        <v>830</v>
      </c>
      <c r="E45" s="170">
        <f t="shared" si="4"/>
        <v>3.4132530120481928</v>
      </c>
      <c r="F45" s="57"/>
      <c r="G45" s="14"/>
      <c r="H45" s="4"/>
      <c r="I45" s="173"/>
      <c r="J45" s="4"/>
      <c r="K45" s="30"/>
      <c r="R45" s="7"/>
      <c r="S45" s="7"/>
      <c r="T45" s="7"/>
      <c r="U45" s="7"/>
      <c r="V45" s="7"/>
      <c r="W45" s="7"/>
      <c r="X45" s="7"/>
      <c r="Y45" s="7"/>
      <c r="Z45" s="7"/>
    </row>
    <row r="46" spans="1:26" ht="15.75" customHeight="1">
      <c r="A46" s="7"/>
      <c r="B46" s="174" t="s">
        <v>166</v>
      </c>
      <c r="C46" s="175">
        <f t="shared" ref="C46:D46" si="5">SUM(C42:C45)</f>
        <v>297815</v>
      </c>
      <c r="D46" s="175">
        <f t="shared" si="5"/>
        <v>56035</v>
      </c>
      <c r="E46" s="176">
        <f t="shared" si="4"/>
        <v>5.3148032479700191</v>
      </c>
      <c r="F46" s="57"/>
      <c r="G46" s="4"/>
      <c r="H46" s="4"/>
      <c r="I46" s="112"/>
      <c r="J46" s="4"/>
      <c r="K46" s="30"/>
      <c r="R46" s="7"/>
      <c r="S46" s="7"/>
      <c r="T46" s="7"/>
      <c r="U46" s="7"/>
      <c r="V46" s="7"/>
      <c r="W46" s="7"/>
      <c r="X46" s="7"/>
      <c r="Y46" s="7"/>
      <c r="Z46" s="7"/>
    </row>
    <row r="47" spans="1:26" ht="15.75" customHeight="1">
      <c r="A47" s="7"/>
      <c r="B47" s="14"/>
      <c r="C47" s="55"/>
      <c r="D47" s="57"/>
      <c r="E47" s="57"/>
      <c r="F47" s="57"/>
      <c r="G47" s="14"/>
      <c r="H47" s="4"/>
      <c r="I47" s="112"/>
      <c r="J47" s="4"/>
      <c r="K47" s="30"/>
      <c r="R47" s="7"/>
      <c r="S47" s="7"/>
      <c r="T47" s="7"/>
      <c r="U47" s="7"/>
      <c r="V47" s="7"/>
      <c r="W47" s="7"/>
      <c r="X47" s="7"/>
      <c r="Y47" s="7"/>
      <c r="Z47" s="7"/>
    </row>
    <row r="48" spans="1:26" ht="15.75" customHeight="1">
      <c r="A48" s="7"/>
      <c r="B48" s="160" t="s">
        <v>167</v>
      </c>
      <c r="C48" s="628" t="s">
        <v>156</v>
      </c>
      <c r="D48" s="627"/>
      <c r="E48" s="177" t="s">
        <v>157</v>
      </c>
      <c r="F48" s="57"/>
      <c r="G48" s="7"/>
      <c r="H48" s="4"/>
      <c r="I48" s="171"/>
      <c r="J48" s="4"/>
      <c r="K48" s="30"/>
      <c r="R48" s="7"/>
      <c r="S48" s="7"/>
      <c r="T48" s="7"/>
      <c r="U48" s="7"/>
      <c r="V48" s="7"/>
      <c r="W48" s="7"/>
      <c r="X48" s="7"/>
      <c r="Y48" s="7"/>
      <c r="Z48" s="7"/>
    </row>
    <row r="49" spans="1:26" ht="15.75" customHeight="1">
      <c r="A49" s="7"/>
      <c r="B49" s="178" t="s">
        <v>158</v>
      </c>
      <c r="C49" s="178" t="s">
        <v>168</v>
      </c>
      <c r="D49" s="178" t="s">
        <v>169</v>
      </c>
      <c r="E49" s="178" t="s">
        <v>161</v>
      </c>
      <c r="F49" s="57"/>
      <c r="G49" s="7"/>
      <c r="H49" s="4"/>
      <c r="I49" s="171"/>
      <c r="J49" s="4"/>
      <c r="K49" s="30"/>
      <c r="R49" s="7"/>
      <c r="S49" s="7"/>
      <c r="T49" s="7"/>
      <c r="U49" s="7"/>
      <c r="V49" s="7"/>
      <c r="W49" s="7"/>
      <c r="X49" s="7"/>
      <c r="Y49" s="7"/>
      <c r="Z49" s="7"/>
    </row>
    <row r="50" spans="1:26" ht="15.75" customHeight="1">
      <c r="A50" s="7"/>
      <c r="B50" s="179" t="s">
        <v>170</v>
      </c>
      <c r="C50" s="180">
        <v>19818.245999999999</v>
      </c>
      <c r="D50" s="181">
        <v>0</v>
      </c>
      <c r="E50" s="182">
        <v>0</v>
      </c>
      <c r="F50" s="527" t="s">
        <v>171</v>
      </c>
      <c r="G50" s="14"/>
      <c r="H50" s="4"/>
      <c r="I50" s="112"/>
      <c r="J50" s="4"/>
      <c r="K50" s="30"/>
      <c r="R50" s="7"/>
      <c r="S50" s="7"/>
      <c r="T50" s="7"/>
      <c r="U50" s="7"/>
      <c r="V50" s="7"/>
      <c r="W50" s="7"/>
      <c r="X50" s="7"/>
      <c r="Y50" s="7"/>
      <c r="Z50" s="7"/>
    </row>
    <row r="51" spans="1:26" ht="15.75" customHeight="1">
      <c r="A51" s="7"/>
      <c r="B51" s="183" t="s">
        <v>172</v>
      </c>
      <c r="C51" s="184">
        <f>F51-C50</f>
        <v>57237.754000000001</v>
      </c>
      <c r="D51" s="184">
        <f t="shared" ref="D51:D54" si="6">C51/E51</f>
        <v>1430.9438500000001</v>
      </c>
      <c r="E51" s="185">
        <v>40</v>
      </c>
      <c r="F51" s="567">
        <v>77056</v>
      </c>
      <c r="G51" s="4"/>
      <c r="I51" s="112"/>
      <c r="J51" s="4"/>
      <c r="R51" s="7"/>
      <c r="S51" s="7"/>
      <c r="T51" s="7"/>
      <c r="U51" s="7"/>
      <c r="V51" s="7"/>
      <c r="W51" s="7"/>
      <c r="X51" s="7"/>
      <c r="Y51" s="7"/>
      <c r="Z51" s="7"/>
    </row>
    <row r="52" spans="1:26" ht="15.75" customHeight="1">
      <c r="A52" s="7"/>
      <c r="B52" s="183" t="s">
        <v>163</v>
      </c>
      <c r="C52" s="184">
        <v>756778</v>
      </c>
      <c r="D52" s="184">
        <f t="shared" si="6"/>
        <v>33634.577777777777</v>
      </c>
      <c r="E52" s="185">
        <f>AVERAGE(5,40)</f>
        <v>22.5</v>
      </c>
      <c r="F52" s="57"/>
      <c r="G52" s="14"/>
      <c r="H52" s="4"/>
      <c r="I52" s="112"/>
      <c r="J52" s="4"/>
      <c r="K52" s="30"/>
      <c r="R52" s="7"/>
      <c r="S52" s="7"/>
      <c r="T52" s="7"/>
      <c r="U52" s="7"/>
      <c r="V52" s="7"/>
      <c r="W52" s="7"/>
      <c r="X52" s="7"/>
      <c r="Y52" s="7"/>
      <c r="Z52" s="7"/>
    </row>
    <row r="53" spans="1:26" ht="15.75" customHeight="1">
      <c r="A53" s="7"/>
      <c r="B53" s="183" t="s">
        <v>173</v>
      </c>
      <c r="C53" s="184">
        <v>42806</v>
      </c>
      <c r="D53" s="184">
        <f t="shared" si="6"/>
        <v>6585.5384615384619</v>
      </c>
      <c r="E53" s="185">
        <f>AVERAGE(3,10)</f>
        <v>6.5</v>
      </c>
      <c r="F53" s="57"/>
      <c r="G53" s="7"/>
      <c r="H53" s="4"/>
      <c r="I53" s="171"/>
      <c r="J53" s="4"/>
      <c r="K53" s="30"/>
      <c r="R53" s="7"/>
      <c r="S53" s="7"/>
      <c r="T53" s="7"/>
      <c r="U53" s="7"/>
      <c r="V53" s="7"/>
      <c r="W53" s="7"/>
      <c r="X53" s="7"/>
      <c r="Y53" s="7"/>
      <c r="Z53" s="7"/>
    </row>
    <row r="54" spans="1:26" ht="15.75" customHeight="1">
      <c r="A54" s="7"/>
      <c r="B54" s="183" t="s">
        <v>165</v>
      </c>
      <c r="C54" s="184">
        <v>19106</v>
      </c>
      <c r="D54" s="184">
        <f t="shared" si="6"/>
        <v>3821.2</v>
      </c>
      <c r="E54" s="185">
        <f>AVERAGE(3,7)</f>
        <v>5</v>
      </c>
      <c r="F54" s="57"/>
      <c r="G54" s="7"/>
      <c r="H54" s="4"/>
      <c r="I54" s="186"/>
      <c r="J54" s="4"/>
      <c r="K54" s="30"/>
      <c r="R54" s="7"/>
      <c r="S54" s="7"/>
      <c r="T54" s="7"/>
      <c r="U54" s="7"/>
      <c r="V54" s="7"/>
      <c r="W54" s="7"/>
      <c r="X54" s="7"/>
      <c r="Y54" s="7"/>
      <c r="Z54" s="7"/>
    </row>
    <row r="55" spans="1:26" ht="15.75" customHeight="1">
      <c r="A55" s="7"/>
      <c r="B55" s="179" t="s">
        <v>174</v>
      </c>
      <c r="C55" s="180">
        <v>10677</v>
      </c>
      <c r="D55" s="181">
        <v>0</v>
      </c>
      <c r="E55" s="182">
        <v>0</v>
      </c>
      <c r="F55" s="57"/>
      <c r="G55" s="14"/>
      <c r="H55" s="4"/>
      <c r="I55" s="173"/>
      <c r="J55" s="4"/>
      <c r="K55" s="30"/>
      <c r="L55" s="57"/>
      <c r="M55" s="57"/>
      <c r="R55" s="7"/>
      <c r="S55" s="7"/>
      <c r="T55" s="7"/>
      <c r="U55" s="7"/>
      <c r="V55" s="7"/>
      <c r="W55" s="7"/>
      <c r="X55" s="7"/>
      <c r="Y55" s="7"/>
      <c r="Z55" s="7"/>
    </row>
    <row r="56" spans="1:26" ht="15.75" customHeight="1">
      <c r="A56" s="7"/>
      <c r="B56" s="90" t="s">
        <v>175</v>
      </c>
      <c r="C56" s="187">
        <f>SUM(C51:C54)</f>
        <v>875927.75399999996</v>
      </c>
      <c r="D56" s="187">
        <f>SUM(D50:D55)</f>
        <v>45472.260089316238</v>
      </c>
      <c r="E56" s="188">
        <f>C56/D56</f>
        <v>19.262903411431715</v>
      </c>
      <c r="F56" s="57"/>
      <c r="G56" s="57"/>
      <c r="H56" s="57"/>
      <c r="I56" s="94"/>
      <c r="J56" s="57"/>
      <c r="K56" s="57"/>
      <c r="L56" s="57"/>
      <c r="M56" s="57"/>
      <c r="R56" s="7"/>
      <c r="S56" s="7"/>
      <c r="T56" s="7"/>
      <c r="U56" s="7"/>
      <c r="V56" s="7"/>
      <c r="W56" s="7"/>
      <c r="X56" s="7"/>
      <c r="Y56" s="7"/>
      <c r="Z56" s="7"/>
    </row>
    <row r="57" spans="1:26" ht="15" customHeight="1">
      <c r="A57" s="7"/>
      <c r="B57" s="7"/>
      <c r="C57" s="29"/>
      <c r="D57" s="30"/>
      <c r="E57" s="30"/>
      <c r="F57" s="30"/>
      <c r="G57" s="30"/>
      <c r="H57" s="30"/>
      <c r="I57" s="53"/>
      <c r="J57" s="30"/>
      <c r="K57" s="30"/>
      <c r="L57" s="30"/>
      <c r="M57" s="30"/>
      <c r="R57" s="7"/>
      <c r="S57" s="7"/>
      <c r="T57" s="7"/>
      <c r="U57" s="7"/>
      <c r="V57" s="7"/>
      <c r="W57" s="7"/>
      <c r="X57" s="7"/>
      <c r="Y57" s="7"/>
      <c r="Z57" s="7"/>
    </row>
    <row r="58" spans="1:26" ht="15" customHeight="1">
      <c r="A58" s="7"/>
      <c r="B58" s="7" t="s">
        <v>176</v>
      </c>
      <c r="C58" s="29" t="s">
        <v>177</v>
      </c>
      <c r="D58" s="20">
        <f>E56</f>
        <v>19.262903411431715</v>
      </c>
      <c r="E58" s="30"/>
      <c r="F58" s="30"/>
      <c r="G58" s="30"/>
      <c r="H58" s="30"/>
      <c r="I58" s="53"/>
      <c r="J58" s="30"/>
      <c r="K58" s="30"/>
      <c r="L58" s="30"/>
      <c r="M58" s="30"/>
      <c r="R58" s="7"/>
      <c r="S58" s="7"/>
      <c r="T58" s="7"/>
      <c r="U58" s="7"/>
      <c r="V58" s="7"/>
      <c r="W58" s="7"/>
      <c r="X58" s="7"/>
      <c r="Y58" s="7"/>
      <c r="Z58" s="7"/>
    </row>
    <row r="59" spans="1:26" ht="15" customHeight="1">
      <c r="A59" s="7"/>
      <c r="B59" s="7"/>
      <c r="C59" s="29"/>
      <c r="D59" s="30"/>
      <c r="E59" s="30"/>
      <c r="F59" s="30"/>
      <c r="G59" s="30"/>
      <c r="H59" s="189"/>
      <c r="I59" s="53"/>
      <c r="J59" s="30"/>
      <c r="K59" s="30"/>
      <c r="L59" s="30"/>
      <c r="M59" s="30"/>
      <c r="R59" s="7"/>
      <c r="S59" s="7"/>
      <c r="T59" s="7"/>
      <c r="U59" s="7"/>
      <c r="V59" s="7"/>
      <c r="W59" s="7"/>
      <c r="X59" s="7"/>
      <c r="Y59" s="7"/>
      <c r="Z59" s="7"/>
    </row>
    <row r="60" spans="1:26" ht="15" customHeight="1">
      <c r="A60" s="7"/>
      <c r="B60" s="7" t="s">
        <v>178</v>
      </c>
      <c r="C60" s="29" t="s">
        <v>53</v>
      </c>
      <c r="D60" s="190">
        <v>329942.31199999998</v>
      </c>
      <c r="E60" s="190">
        <f t="shared" ref="E60:M60" si="7">D66</f>
        <v>319241.51</v>
      </c>
      <c r="F60" s="190">
        <f t="shared" si="7"/>
        <v>307222.63400000002</v>
      </c>
      <c r="G60" s="190">
        <f t="shared" si="7"/>
        <v>302240.24699999997</v>
      </c>
      <c r="H60" s="190">
        <f t="shared" si="7"/>
        <v>311836.83100000001</v>
      </c>
      <c r="I60" s="191">
        <f t="shared" si="7"/>
        <v>308491.35200000001</v>
      </c>
      <c r="J60" s="118">
        <f t="shared" si="7"/>
        <v>285334.20281463489</v>
      </c>
      <c r="K60" s="118">
        <f t="shared" si="7"/>
        <v>271765.03421050077</v>
      </c>
      <c r="L60" s="118">
        <f t="shared" si="7"/>
        <v>265317.37822984456</v>
      </c>
      <c r="M60" s="118">
        <f t="shared" si="7"/>
        <v>268451.50449803553</v>
      </c>
      <c r="S60" s="7"/>
      <c r="T60" s="7"/>
      <c r="U60" s="7"/>
      <c r="V60" s="7"/>
      <c r="W60" s="7"/>
      <c r="X60" s="7"/>
      <c r="Y60" s="7"/>
      <c r="Z60" s="7"/>
    </row>
    <row r="61" spans="1:26" ht="15.6">
      <c r="A61" s="7"/>
      <c r="B61" s="7" t="s">
        <v>179</v>
      </c>
      <c r="C61" s="29" t="s">
        <v>53</v>
      </c>
      <c r="D61" s="190">
        <f>-('Cash Flow'!D40+'Cash Flow'!D41)</f>
        <v>33376.451000000001</v>
      </c>
      <c r="E61" s="190">
        <f>-('Cash Flow'!E40+'Cash Flow'!E41)</f>
        <v>37989.434999999998</v>
      </c>
      <c r="F61" s="190">
        <f>-('Cash Flow'!F40+'Cash Flow'!F41)</f>
        <v>51993.144999999997</v>
      </c>
      <c r="G61" s="190">
        <f>-('Cash Flow'!G40+'Cash Flow'!G41)</f>
        <v>72752.167999999991</v>
      </c>
      <c r="H61" s="190">
        <f>-('Cash Flow'!H40+'Cash Flow'!H41)</f>
        <v>53933.279999999999</v>
      </c>
      <c r="I61" s="192">
        <f>I62*'Income Assumptions'!K5</f>
        <v>34677.74437066145</v>
      </c>
      <c r="J61" s="103">
        <f>J62*'Income Assumptions'!L5</f>
        <v>35569.103335514315</v>
      </c>
      <c r="K61" s="103">
        <f>K62*'Income Assumptions'!M5</f>
        <v>33907.747979841639</v>
      </c>
      <c r="L61" s="103">
        <f>L62*'Income Assumptions'!N5</f>
        <v>34750.40744446696</v>
      </c>
      <c r="M61" s="103">
        <f>M62*'Income Assumptions'!O5</f>
        <v>32898.794014795312</v>
      </c>
      <c r="N61" s="629" t="s">
        <v>180</v>
      </c>
      <c r="O61" s="602"/>
      <c r="P61" s="602"/>
      <c r="Q61" s="602"/>
      <c r="R61" s="602"/>
      <c r="S61" s="602"/>
      <c r="T61" s="602"/>
      <c r="U61" s="602"/>
      <c r="V61" s="602"/>
      <c r="W61" s="467"/>
      <c r="X61" s="7"/>
      <c r="Y61" s="7"/>
      <c r="Z61" s="7"/>
    </row>
    <row r="62" spans="1:26" ht="15.75" customHeight="1">
      <c r="A62" s="7"/>
      <c r="B62" s="194" t="s">
        <v>181</v>
      </c>
      <c r="C62" s="195" t="s">
        <v>55</v>
      </c>
      <c r="D62" s="196">
        <f>D61/'Income Assumptions'!F5</f>
        <v>0.16669141333470139</v>
      </c>
      <c r="E62" s="196">
        <f>E61/'Income Assumptions'!G5</f>
        <v>0.17427847283636466</v>
      </c>
      <c r="F62" s="196">
        <f>F61/'Income Assumptions'!H5</f>
        <v>0.22499030293763048</v>
      </c>
      <c r="G62" s="196">
        <f>G61/'Income Assumptions'!I5</f>
        <v>0.30065233123581647</v>
      </c>
      <c r="H62" s="196">
        <f>H61/'Income Assumptions'!J5</f>
        <v>0.22270532257341824</v>
      </c>
      <c r="I62" s="197">
        <v>0.14000000000000001</v>
      </c>
      <c r="J62" s="198">
        <v>0.14000000000000001</v>
      </c>
      <c r="K62" s="198">
        <v>0.13</v>
      </c>
      <c r="L62" s="198">
        <v>0.13</v>
      </c>
      <c r="M62" s="198">
        <v>0.12</v>
      </c>
      <c r="N62" s="602"/>
      <c r="O62" s="624"/>
      <c r="P62" s="624"/>
      <c r="Q62" s="624"/>
      <c r="R62" s="624"/>
      <c r="S62" s="624"/>
      <c r="T62" s="624"/>
      <c r="U62" s="624"/>
      <c r="V62" s="602"/>
      <c r="X62" s="7"/>
      <c r="Y62" s="7"/>
      <c r="Z62" s="7"/>
    </row>
    <row r="63" spans="1:26" ht="15.75" customHeight="1">
      <c r="A63" s="7"/>
      <c r="B63" s="194" t="s">
        <v>183</v>
      </c>
      <c r="C63" s="195" t="s">
        <v>55</v>
      </c>
      <c r="D63" s="199" t="s">
        <v>56</v>
      </c>
      <c r="E63" s="196">
        <f t="shared" ref="E63:M63" si="8">E61/D61-1</f>
        <v>0.13821074026114988</v>
      </c>
      <c r="F63" s="196">
        <f t="shared" si="8"/>
        <v>0.36862117059650923</v>
      </c>
      <c r="G63" s="196">
        <f t="shared" si="8"/>
        <v>0.39926461459486617</v>
      </c>
      <c r="H63" s="196">
        <f t="shared" si="8"/>
        <v>-0.25867116427375736</v>
      </c>
      <c r="I63" s="200">
        <f t="shared" si="8"/>
        <v>-0.35702511750330312</v>
      </c>
      <c r="J63" s="196">
        <f t="shared" si="8"/>
        <v>2.5704064120358083E-2</v>
      </c>
      <c r="K63" s="196">
        <f t="shared" si="8"/>
        <v>-4.6707822235537821E-2</v>
      </c>
      <c r="L63" s="196">
        <f t="shared" si="8"/>
        <v>2.4851531429521234E-2</v>
      </c>
      <c r="M63" s="196">
        <f t="shared" si="8"/>
        <v>-5.3283214955986535E-2</v>
      </c>
      <c r="N63" s="602"/>
      <c r="O63" s="602"/>
      <c r="P63" s="602"/>
      <c r="Q63" s="602"/>
      <c r="R63" s="602"/>
      <c r="S63" s="602"/>
      <c r="T63" s="602"/>
      <c r="U63" s="602"/>
      <c r="V63" s="602"/>
      <c r="X63" s="7"/>
      <c r="Y63" s="7"/>
      <c r="Z63" s="7"/>
    </row>
    <row r="64" spans="1:26" ht="15" customHeight="1">
      <c r="A64" s="7"/>
      <c r="B64" s="7" t="s">
        <v>185</v>
      </c>
      <c r="C64" s="29" t="s">
        <v>53</v>
      </c>
      <c r="D64" s="118">
        <v>40264.451000000001</v>
      </c>
      <c r="E64" s="118">
        <f t="shared" ref="E64:M64" si="9">E75</f>
        <v>52942.445</v>
      </c>
      <c r="F64" s="118">
        <f t="shared" si="9"/>
        <v>54561.512000000002</v>
      </c>
      <c r="G64" s="118">
        <f t="shared" si="9"/>
        <v>59480.741000000002</v>
      </c>
      <c r="H64" s="118">
        <f t="shared" si="9"/>
        <v>56034.659</v>
      </c>
      <c r="I64" s="191">
        <f t="shared" si="9"/>
        <v>57834.893556026567</v>
      </c>
      <c r="J64" s="118">
        <f t="shared" si="9"/>
        <v>49138.271939648432</v>
      </c>
      <c r="K64" s="118">
        <f t="shared" si="9"/>
        <v>40355.403960497868</v>
      </c>
      <c r="L64" s="118">
        <f t="shared" si="9"/>
        <v>31616.281176275974</v>
      </c>
      <c r="M64" s="118">
        <f t="shared" si="9"/>
        <v>27959.398028875312</v>
      </c>
      <c r="N64" s="533"/>
      <c r="P64" s="559"/>
      <c r="Q64" s="561" t="s">
        <v>182</v>
      </c>
      <c r="R64" s="560" t="s">
        <v>184</v>
      </c>
      <c r="S64" s="559"/>
      <c r="T64" s="533"/>
      <c r="U64" s="533"/>
      <c r="V64" s="533"/>
      <c r="W64" s="7"/>
      <c r="X64" s="7"/>
      <c r="Y64" s="7"/>
      <c r="Z64" s="7"/>
    </row>
    <row r="65" spans="1:26" ht="15" customHeight="1">
      <c r="A65" s="7"/>
      <c r="B65" s="7" t="s">
        <v>186</v>
      </c>
      <c r="C65" s="29" t="s">
        <v>53</v>
      </c>
      <c r="D65" s="20">
        <f t="shared" ref="D65:H65" si="10">D67-(D60+D61-D64)</f>
        <v>-3812.8019999999669</v>
      </c>
      <c r="E65" s="20">
        <f t="shared" si="10"/>
        <v>2934.13400000002</v>
      </c>
      <c r="F65" s="20">
        <f t="shared" si="10"/>
        <v>-2414.0200000000768</v>
      </c>
      <c r="G65" s="20">
        <f t="shared" si="10"/>
        <v>-3674.8429999999935</v>
      </c>
      <c r="H65" s="20">
        <f t="shared" si="10"/>
        <v>-1244.1000000000349</v>
      </c>
      <c r="I65" s="122">
        <v>0</v>
      </c>
      <c r="J65" s="20">
        <v>0</v>
      </c>
      <c r="K65" s="20">
        <v>0</v>
      </c>
      <c r="L65" s="20">
        <v>0</v>
      </c>
      <c r="M65" s="20">
        <v>0</v>
      </c>
      <c r="N65" s="533"/>
      <c r="O65" s="533"/>
      <c r="P65" s="533"/>
      <c r="Q65" s="533"/>
      <c r="R65" s="533"/>
      <c r="S65" s="533"/>
      <c r="T65" s="533"/>
      <c r="U65" s="533"/>
      <c r="V65" s="533"/>
      <c r="W65" s="7"/>
      <c r="X65" s="7"/>
      <c r="Y65" s="7"/>
      <c r="Z65" s="7"/>
    </row>
    <row r="66" spans="1:26" ht="15.75" customHeight="1">
      <c r="A66" s="7"/>
      <c r="B66" s="14" t="s">
        <v>187</v>
      </c>
      <c r="C66" s="55" t="s">
        <v>53</v>
      </c>
      <c r="D66" s="201">
        <f t="shared" ref="D66:M66" si="11">D60+D61-D64+D65</f>
        <v>319241.51</v>
      </c>
      <c r="E66" s="201">
        <f t="shared" si="11"/>
        <v>307222.63400000002</v>
      </c>
      <c r="F66" s="201">
        <f t="shared" si="11"/>
        <v>302240.24699999997</v>
      </c>
      <c r="G66" s="201">
        <f t="shared" si="11"/>
        <v>311836.83100000001</v>
      </c>
      <c r="H66" s="201">
        <f t="shared" si="11"/>
        <v>308491.35200000001</v>
      </c>
      <c r="I66" s="202">
        <f t="shared" si="11"/>
        <v>285334.20281463489</v>
      </c>
      <c r="J66" s="201">
        <f t="shared" si="11"/>
        <v>271765.03421050077</v>
      </c>
      <c r="K66" s="201">
        <f t="shared" si="11"/>
        <v>265317.37822984456</v>
      </c>
      <c r="L66" s="201">
        <f t="shared" si="11"/>
        <v>268451.50449803553</v>
      </c>
      <c r="M66" s="201">
        <f t="shared" si="11"/>
        <v>273390.90048395557</v>
      </c>
      <c r="N66" s="533"/>
      <c r="O66" s="533"/>
      <c r="P66" s="533"/>
      <c r="Q66" s="533"/>
      <c r="R66" s="533"/>
      <c r="S66" s="533"/>
      <c r="T66" s="533"/>
      <c r="U66" s="533"/>
      <c r="V66" s="533"/>
      <c r="W66" s="7"/>
      <c r="X66" s="7"/>
      <c r="Y66" s="7"/>
      <c r="Z66" s="7"/>
    </row>
    <row r="67" spans="1:26" ht="15.75" customHeight="1">
      <c r="A67" s="7"/>
      <c r="B67" s="203" t="s">
        <v>188</v>
      </c>
      <c r="C67" s="204"/>
      <c r="D67" s="205">
        <v>319241.51</v>
      </c>
      <c r="E67" s="205">
        <v>307222.63400000002</v>
      </c>
      <c r="F67" s="205">
        <v>302240.24699999997</v>
      </c>
      <c r="G67" s="205">
        <v>311836.83100000001</v>
      </c>
      <c r="H67" s="205">
        <v>308491.35200000001</v>
      </c>
      <c r="I67" s="53"/>
      <c r="J67" s="30"/>
      <c r="K67" s="30"/>
      <c r="L67" s="30"/>
      <c r="M67" s="30"/>
      <c r="N67" s="539"/>
      <c r="O67" s="539"/>
      <c r="P67" s="539"/>
      <c r="Q67" s="539"/>
      <c r="R67" s="539"/>
      <c r="S67" s="538"/>
      <c r="T67" s="538"/>
      <c r="U67" s="533"/>
      <c r="V67" s="533"/>
      <c r="W67" s="7"/>
      <c r="X67" s="7"/>
      <c r="Y67" s="7"/>
      <c r="Z67" s="7"/>
    </row>
    <row r="68" spans="1:26" ht="15" customHeight="1">
      <c r="A68" s="7"/>
      <c r="B68" s="5"/>
      <c r="C68" s="29"/>
      <c r="D68" s="20"/>
      <c r="E68" s="20"/>
      <c r="F68" s="190"/>
      <c r="G68" s="190"/>
      <c r="H68" s="190"/>
      <c r="I68" s="124"/>
      <c r="J68" s="56"/>
      <c r="K68" s="56"/>
      <c r="L68" s="56"/>
      <c r="M68" s="56"/>
      <c r="N68" s="539"/>
      <c r="O68" s="539"/>
      <c r="P68" s="539"/>
      <c r="Q68" s="539"/>
      <c r="R68" s="539"/>
      <c r="S68" s="538"/>
      <c r="T68" s="538"/>
      <c r="U68" s="533"/>
      <c r="V68" s="533"/>
      <c r="W68" s="7"/>
      <c r="X68" s="7"/>
      <c r="Y68" s="7"/>
      <c r="Z68" s="7"/>
    </row>
    <row r="69" spans="1:26" ht="15" customHeight="1">
      <c r="A69" s="7"/>
      <c r="B69" s="5" t="s">
        <v>189</v>
      </c>
      <c r="C69" s="29" t="s">
        <v>53</v>
      </c>
      <c r="D69" s="20">
        <f>D64</f>
        <v>40264.451000000001</v>
      </c>
      <c r="E69" s="20">
        <v>52942.445</v>
      </c>
      <c r="F69" s="190">
        <v>54561.512000000002</v>
      </c>
      <c r="G69" s="190">
        <v>59480.741000000002</v>
      </c>
      <c r="H69" s="190">
        <v>56034.659</v>
      </c>
      <c r="I69" s="206">
        <f>H75</f>
        <v>56034.659</v>
      </c>
      <c r="J69" s="56">
        <f>I69-($H$75/E46)</f>
        <v>45491.529483135506</v>
      </c>
      <c r="K69" s="56">
        <f>J69-($H$75/E46)</f>
        <v>34948.399966271012</v>
      </c>
      <c r="L69" s="56">
        <f>K69-($H$75/E46)</f>
        <v>24405.270449406518</v>
      </c>
      <c r="M69" s="56">
        <f>L69-($H$75/E46)</f>
        <v>13862.140932542023</v>
      </c>
      <c r="N69" s="622" t="s">
        <v>190</v>
      </c>
      <c r="O69" s="602"/>
      <c r="P69" s="602"/>
      <c r="Q69" s="602"/>
      <c r="R69" s="558"/>
      <c r="S69" s="538"/>
      <c r="T69" s="538"/>
      <c r="U69" s="533"/>
      <c r="V69" s="533"/>
      <c r="W69" s="7"/>
      <c r="X69" s="7"/>
      <c r="Y69" s="7"/>
      <c r="Z69" s="7"/>
    </row>
    <row r="70" spans="1:26" ht="15" customHeight="1">
      <c r="A70" s="7"/>
      <c r="B70" s="5" t="s">
        <v>191</v>
      </c>
      <c r="C70" s="29" t="s">
        <v>53</v>
      </c>
      <c r="D70" s="20"/>
      <c r="E70" s="20"/>
      <c r="F70" s="20"/>
      <c r="G70" s="20"/>
      <c r="H70" s="20"/>
      <c r="I70" s="192">
        <f>I61/$D$58</f>
        <v>1800.2345560265687</v>
      </c>
      <c r="J70" s="103">
        <f t="shared" ref="J70:M70" si="12">$I$70</f>
        <v>1800.2345560265687</v>
      </c>
      <c r="K70" s="103">
        <f t="shared" si="12"/>
        <v>1800.2345560265687</v>
      </c>
      <c r="L70" s="103">
        <f t="shared" si="12"/>
        <v>1800.2345560265687</v>
      </c>
      <c r="M70" s="103">
        <f t="shared" si="12"/>
        <v>1800.2345560265687</v>
      </c>
      <c r="N70" s="558"/>
      <c r="O70" s="558"/>
      <c r="P70" s="558"/>
      <c r="Q70" s="558"/>
      <c r="R70" s="558"/>
      <c r="S70" s="533"/>
      <c r="T70" s="533"/>
      <c r="U70" s="533"/>
      <c r="V70" s="533"/>
      <c r="W70" s="7"/>
      <c r="X70" s="7"/>
      <c r="Y70" s="7"/>
      <c r="Z70" s="7"/>
    </row>
    <row r="71" spans="1:26" ht="15" customHeight="1">
      <c r="A71" s="7"/>
      <c r="B71" s="5" t="s">
        <v>192</v>
      </c>
      <c r="C71" s="29" t="s">
        <v>53</v>
      </c>
      <c r="D71" s="20"/>
      <c r="E71" s="20"/>
      <c r="F71" s="20"/>
      <c r="G71" s="20"/>
      <c r="H71" s="20"/>
      <c r="I71" s="150"/>
      <c r="J71" s="103">
        <f>J61/$D$58</f>
        <v>1846.5079004863599</v>
      </c>
      <c r="K71" s="103">
        <f t="shared" ref="K71:M71" si="13">$J$71</f>
        <v>1846.5079004863599</v>
      </c>
      <c r="L71" s="103">
        <f t="shared" si="13"/>
        <v>1846.5079004863599</v>
      </c>
      <c r="M71" s="103">
        <f t="shared" si="13"/>
        <v>1846.5079004863599</v>
      </c>
      <c r="N71" s="558"/>
      <c r="O71" s="558"/>
      <c r="P71" s="558"/>
      <c r="Q71" s="558"/>
      <c r="R71" s="558"/>
      <c r="S71" s="533"/>
      <c r="T71" s="533"/>
      <c r="U71" s="533"/>
      <c r="V71" s="533"/>
      <c r="W71" s="7"/>
      <c r="X71" s="7"/>
      <c r="Y71" s="7"/>
      <c r="Z71" s="7"/>
    </row>
    <row r="72" spans="1:26" ht="15" customHeight="1">
      <c r="A72" s="7"/>
      <c r="B72" s="5" t="s">
        <v>193</v>
      </c>
      <c r="C72" s="29" t="s">
        <v>53</v>
      </c>
      <c r="D72" s="30"/>
      <c r="E72" s="30"/>
      <c r="F72" s="30"/>
      <c r="G72" s="30"/>
      <c r="H72" s="30"/>
      <c r="I72" s="150"/>
      <c r="J72" s="149"/>
      <c r="K72" s="103">
        <f>K61/$D$58</f>
        <v>1760.2615377139268</v>
      </c>
      <c r="L72" s="103">
        <f t="shared" ref="L72:M72" si="14">$K$72</f>
        <v>1760.2615377139268</v>
      </c>
      <c r="M72" s="103">
        <f t="shared" si="14"/>
        <v>1760.2615377139268</v>
      </c>
      <c r="N72" s="533"/>
      <c r="O72" s="533"/>
      <c r="P72" s="533"/>
      <c r="Q72" s="533"/>
      <c r="R72" s="533"/>
      <c r="S72" s="533"/>
      <c r="T72" s="533"/>
      <c r="U72" s="533"/>
      <c r="V72" s="533"/>
      <c r="W72" s="7"/>
      <c r="X72" s="7"/>
      <c r="Y72" s="7"/>
      <c r="Z72" s="7"/>
    </row>
    <row r="73" spans="1:26" ht="15" customHeight="1">
      <c r="A73" s="7"/>
      <c r="B73" s="5" t="s">
        <v>194</v>
      </c>
      <c r="C73" s="29" t="s">
        <v>53</v>
      </c>
      <c r="D73" s="30"/>
      <c r="E73" s="30"/>
      <c r="F73" s="30"/>
      <c r="G73" s="30"/>
      <c r="H73" s="30"/>
      <c r="I73" s="150"/>
      <c r="J73" s="149"/>
      <c r="K73" s="149"/>
      <c r="L73" s="103">
        <f>L61/$D$58</f>
        <v>1804.0067326426019</v>
      </c>
      <c r="M73" s="103">
        <f>$L$73</f>
        <v>1804.0067326426019</v>
      </c>
      <c r="N73" s="533"/>
      <c r="O73" s="533"/>
      <c r="P73" s="533"/>
      <c r="Q73" s="533"/>
      <c r="R73" s="533"/>
      <c r="S73" s="533"/>
      <c r="T73" s="533"/>
      <c r="U73" s="533"/>
      <c r="V73" s="533"/>
      <c r="W73" s="7"/>
      <c r="X73" s="7"/>
      <c r="Y73" s="7"/>
      <c r="Z73" s="7"/>
    </row>
    <row r="74" spans="1:26" ht="15" customHeight="1">
      <c r="A74" s="7"/>
      <c r="B74" s="5" t="s">
        <v>195</v>
      </c>
      <c r="C74" s="29" t="s">
        <v>53</v>
      </c>
      <c r="D74" s="30"/>
      <c r="E74" s="30"/>
      <c r="F74" s="30"/>
      <c r="G74" s="30"/>
      <c r="H74" s="30"/>
      <c r="I74" s="150"/>
      <c r="J74" s="149"/>
      <c r="K74" s="149"/>
      <c r="L74" s="149"/>
      <c r="M74" s="103">
        <f>M61/$D$58</f>
        <v>1707.8834541251592</v>
      </c>
      <c r="N74" s="533"/>
      <c r="O74" s="533"/>
      <c r="P74" s="533"/>
      <c r="Q74" s="533"/>
      <c r="R74" s="533"/>
      <c r="S74" s="533"/>
      <c r="T74" s="533"/>
      <c r="U74" s="533"/>
      <c r="V74" s="533"/>
      <c r="W74" s="7"/>
      <c r="X74" s="7"/>
      <c r="Y74" s="7"/>
      <c r="Z74" s="7"/>
    </row>
    <row r="75" spans="1:26" ht="15.75" customHeight="1">
      <c r="A75" s="7"/>
      <c r="B75" s="14" t="s">
        <v>196</v>
      </c>
      <c r="C75" s="55" t="s">
        <v>53</v>
      </c>
      <c r="D75" s="57">
        <f t="shared" ref="D75:H75" si="15">SUM(D69:D74)</f>
        <v>40264.451000000001</v>
      </c>
      <c r="E75" s="57">
        <f t="shared" si="15"/>
        <v>52942.445</v>
      </c>
      <c r="F75" s="201">
        <f t="shared" si="15"/>
        <v>54561.512000000002</v>
      </c>
      <c r="G75" s="201">
        <f t="shared" si="15"/>
        <v>59480.741000000002</v>
      </c>
      <c r="H75" s="201">
        <f t="shared" si="15"/>
        <v>56034.659</v>
      </c>
      <c r="I75" s="94">
        <f t="shared" ref="I75:M75" si="16">MAX(SUM(I69:I74),I61-I77)</f>
        <v>57834.893556026567</v>
      </c>
      <c r="J75" s="57">
        <f t="shared" si="16"/>
        <v>49138.271939648432</v>
      </c>
      <c r="K75" s="57">
        <f t="shared" si="16"/>
        <v>40355.403960497868</v>
      </c>
      <c r="L75" s="57">
        <f t="shared" si="16"/>
        <v>31616.281176275974</v>
      </c>
      <c r="M75" s="57">
        <f t="shared" si="16"/>
        <v>27959.398028875312</v>
      </c>
      <c r="N75" s="539"/>
      <c r="O75" s="539"/>
      <c r="P75" s="539"/>
      <c r="Q75" s="539"/>
      <c r="R75" s="533"/>
      <c r="S75" s="533"/>
      <c r="T75" s="533"/>
      <c r="U75" s="533"/>
      <c r="V75" s="533"/>
      <c r="W75" s="7"/>
      <c r="X75" s="7"/>
      <c r="Y75" s="7"/>
      <c r="Z75" s="7"/>
    </row>
    <row r="76" spans="1:26" ht="15" customHeight="1">
      <c r="A76" s="7"/>
      <c r="B76" s="7"/>
      <c r="C76" s="29"/>
      <c r="D76" s="30"/>
      <c r="E76" s="30"/>
      <c r="F76" s="30"/>
      <c r="G76" s="30"/>
      <c r="H76" s="30"/>
      <c r="I76" s="53"/>
      <c r="J76" s="30"/>
      <c r="K76" s="30"/>
      <c r="L76" s="30"/>
      <c r="M76" s="30"/>
      <c r="N76" s="623" t="s">
        <v>197</v>
      </c>
      <c r="O76" s="602"/>
      <c r="P76" s="602"/>
      <c r="Q76" s="602"/>
      <c r="R76" s="602"/>
      <c r="S76" s="602"/>
      <c r="T76" s="602"/>
      <c r="U76" s="602"/>
      <c r="V76" s="602"/>
      <c r="W76" s="7"/>
      <c r="X76" s="7"/>
      <c r="Y76" s="7"/>
      <c r="Z76" s="7"/>
    </row>
    <row r="77" spans="1:26" ht="15" customHeight="1">
      <c r="A77" s="7"/>
      <c r="B77" s="7" t="s">
        <v>198</v>
      </c>
      <c r="C77" s="29" t="s">
        <v>53</v>
      </c>
      <c r="D77" s="20">
        <v>8157.0730000000003</v>
      </c>
      <c r="E77" s="20">
        <v>8718.7579999999998</v>
      </c>
      <c r="F77" s="20">
        <v>8186.9009999999998</v>
      </c>
      <c r="G77" s="20">
        <v>8784.6409999999996</v>
      </c>
      <c r="H77" s="20">
        <v>10894.228999999999</v>
      </c>
      <c r="I77" s="192">
        <f>-'Debt Schedule'!I68</f>
        <v>7734.5652000000009</v>
      </c>
      <c r="J77" s="103">
        <f>-'Debt Schedule'!J68</f>
        <v>6787.6921600000005</v>
      </c>
      <c r="K77" s="103">
        <f>-'Debt Schedule'!K68</f>
        <v>6030.1937280000011</v>
      </c>
      <c r="L77" s="103">
        <f>-'Debt Schedule'!L68</f>
        <v>5424.1949824000012</v>
      </c>
      <c r="M77" s="103">
        <f>-'Debt Schedule'!M68</f>
        <v>4939.3959859200013</v>
      </c>
      <c r="N77" s="602"/>
      <c r="O77" s="624"/>
      <c r="P77" s="624"/>
      <c r="Q77" s="624"/>
      <c r="R77" s="624"/>
      <c r="S77" s="624"/>
      <c r="T77" s="624"/>
      <c r="U77" s="624"/>
      <c r="V77" s="602"/>
      <c r="W77" s="7"/>
      <c r="X77" s="7"/>
      <c r="Y77" s="7"/>
      <c r="Z77" s="7"/>
    </row>
    <row r="78" spans="1:26" ht="15.75" customHeight="1">
      <c r="A78" s="7"/>
      <c r="B78" s="194" t="s">
        <v>181</v>
      </c>
      <c r="C78" s="195" t="s">
        <v>55</v>
      </c>
      <c r="D78" s="208">
        <f>D77/'Income Assumptions'!F5</f>
        <v>4.0738724049610084E-2</v>
      </c>
      <c r="E78" s="208">
        <f>E77/'Income Assumptions'!G5</f>
        <v>3.9997747512429099E-2</v>
      </c>
      <c r="F78" s="208">
        <f>F77/'Income Assumptions'!H5</f>
        <v>3.5427234419275651E-2</v>
      </c>
      <c r="G78" s="208">
        <f>G77/'Income Assumptions'!I5</f>
        <v>3.6303011557260179E-2</v>
      </c>
      <c r="H78" s="208">
        <f>H77/'Income Assumptions'!J5</f>
        <v>4.4985262969982315E-2</v>
      </c>
      <c r="I78" s="209">
        <f>I77/'Income Assumptions'!K5</f>
        <v>3.1225765909853095E-2</v>
      </c>
      <c r="J78" s="208">
        <f>J77/'Income Assumptions'!L5</f>
        <v>2.6716358111034726E-2</v>
      </c>
      <c r="K78" s="208">
        <f>K77/'Income Assumptions'!M5</f>
        <v>2.3119352695025585E-2</v>
      </c>
      <c r="L78" s="208">
        <f>L77/'Income Assumptions'!N5</f>
        <v>2.0291714531372351E-2</v>
      </c>
      <c r="M78" s="208">
        <f>M77/'Income Assumptions'!O5</f>
        <v>1.8016694412683866E-2</v>
      </c>
      <c r="N78" s="602"/>
      <c r="O78" s="602"/>
      <c r="P78" s="602"/>
      <c r="Q78" s="602"/>
      <c r="R78" s="602"/>
      <c r="S78" s="602"/>
      <c r="T78" s="602"/>
      <c r="U78" s="602"/>
      <c r="V78" s="602"/>
      <c r="W78" s="7"/>
      <c r="X78" s="7"/>
      <c r="Y78" s="7"/>
      <c r="Z78" s="7"/>
    </row>
    <row r="79" spans="1:26" ht="15" customHeight="1">
      <c r="A79" s="7"/>
      <c r="B79" s="14" t="s">
        <v>199</v>
      </c>
      <c r="C79" s="55" t="s">
        <v>53</v>
      </c>
      <c r="D79" s="201">
        <f t="shared" ref="D79:M79" si="17">D75+(D77)</f>
        <v>48421.524000000005</v>
      </c>
      <c r="E79" s="201">
        <f t="shared" si="17"/>
        <v>61661.203000000001</v>
      </c>
      <c r="F79" s="201">
        <f t="shared" si="17"/>
        <v>62748.413</v>
      </c>
      <c r="G79" s="201">
        <f t="shared" si="17"/>
        <v>68265.381999999998</v>
      </c>
      <c r="H79" s="201">
        <f t="shared" si="17"/>
        <v>66928.888000000006</v>
      </c>
      <c r="I79" s="202">
        <f t="shared" si="17"/>
        <v>65569.458756026565</v>
      </c>
      <c r="J79" s="201">
        <f t="shared" si="17"/>
        <v>55925.96409964843</v>
      </c>
      <c r="K79" s="201">
        <f t="shared" si="17"/>
        <v>46385.597688497866</v>
      </c>
      <c r="L79" s="201">
        <f t="shared" si="17"/>
        <v>37040.476158675978</v>
      </c>
      <c r="M79" s="201">
        <f t="shared" si="17"/>
        <v>32898.794014795312</v>
      </c>
      <c r="N79" s="600" t="s">
        <v>729</v>
      </c>
      <c r="O79" s="602"/>
      <c r="P79" s="602"/>
      <c r="Q79" s="602"/>
      <c r="R79" s="602"/>
      <c r="S79" s="602"/>
      <c r="T79" s="602"/>
      <c r="U79" s="602"/>
      <c r="V79" s="602"/>
      <c r="W79" s="7"/>
      <c r="X79" s="7"/>
      <c r="Y79" s="7"/>
      <c r="Z79" s="7"/>
    </row>
    <row r="80" spans="1:26" ht="15.75" customHeight="1">
      <c r="A80" s="7"/>
      <c r="B80" s="203" t="s">
        <v>200</v>
      </c>
      <c r="C80" s="210"/>
      <c r="D80" s="211">
        <f>'Income Statement'!D21</f>
        <v>48421.523999999998</v>
      </c>
      <c r="E80" s="211">
        <f>'Income Statement'!E21</f>
        <v>61661.203000000001</v>
      </c>
      <c r="F80" s="211">
        <f>'Income Statement'!F21</f>
        <v>62748.413</v>
      </c>
      <c r="G80" s="211">
        <f>'Income Statement'!G21</f>
        <v>68265.383000000002</v>
      </c>
      <c r="H80" s="211">
        <f>'Income Statement'!H21</f>
        <v>66928.888000000006</v>
      </c>
      <c r="I80" s="211">
        <f>'Income Statement'!I21</f>
        <v>65569.458756026565</v>
      </c>
      <c r="J80" s="211">
        <f>'Income Statement'!J21</f>
        <v>55925.96409964843</v>
      </c>
      <c r="K80" s="211">
        <f>'Income Statement'!K21</f>
        <v>46385.597688497866</v>
      </c>
      <c r="L80" s="211">
        <f>'Income Statement'!L21</f>
        <v>37040.476158675978</v>
      </c>
      <c r="M80" s="211">
        <f>'Income Statement'!M21</f>
        <v>32898.794014795312</v>
      </c>
      <c r="N80" s="602"/>
      <c r="O80" s="624"/>
      <c r="P80" s="624"/>
      <c r="Q80" s="624"/>
      <c r="R80" s="624"/>
      <c r="S80" s="624"/>
      <c r="T80" s="624"/>
      <c r="U80" s="624"/>
      <c r="V80" s="602"/>
      <c r="W80" s="7"/>
      <c r="X80" s="7"/>
      <c r="Y80" s="7"/>
      <c r="Z80" s="7"/>
    </row>
    <row r="81" spans="1:26" ht="15.75" customHeight="1">
      <c r="A81" s="7"/>
      <c r="B81" s="7"/>
      <c r="C81" s="29"/>
      <c r="D81" s="30"/>
      <c r="E81" s="30"/>
      <c r="F81" s="30"/>
      <c r="G81" s="30"/>
      <c r="H81" s="30"/>
      <c r="I81" s="7"/>
      <c r="J81" s="7"/>
      <c r="K81" s="7"/>
      <c r="L81" s="7"/>
      <c r="M81" s="7"/>
      <c r="N81" s="602"/>
      <c r="O81" s="602"/>
      <c r="P81" s="602"/>
      <c r="Q81" s="602"/>
      <c r="R81" s="602"/>
      <c r="S81" s="602"/>
      <c r="T81" s="602"/>
      <c r="U81" s="602"/>
      <c r="V81" s="602"/>
      <c r="W81" s="7"/>
      <c r="X81" s="7"/>
      <c r="Y81" s="7"/>
      <c r="Z81" s="7"/>
    </row>
    <row r="82" spans="1:26" ht="15.75" customHeight="1">
      <c r="A82" s="7"/>
      <c r="B82" s="7"/>
      <c r="C82" s="29"/>
      <c r="D82" s="30"/>
      <c r="E82" s="30"/>
      <c r="F82" s="30"/>
      <c r="G82" s="30"/>
      <c r="H82" s="30"/>
      <c r="I82" s="7"/>
      <c r="J82" s="7"/>
      <c r="K82" s="7"/>
      <c r="L82" s="7"/>
      <c r="M82" s="7"/>
      <c r="N82" s="7"/>
      <c r="O82" s="7"/>
      <c r="P82" s="7"/>
      <c r="Q82" s="7"/>
      <c r="R82" s="7"/>
      <c r="S82" s="7"/>
      <c r="T82" s="7"/>
      <c r="U82" s="7"/>
      <c r="V82" s="7"/>
      <c r="W82" s="7"/>
      <c r="X82" s="7"/>
      <c r="Y82" s="7"/>
      <c r="Z82" s="7"/>
    </row>
    <row r="83" spans="1:26" ht="15.75" customHeight="1">
      <c r="A83" s="7"/>
      <c r="B83" s="7"/>
      <c r="C83" s="29"/>
      <c r="D83" s="30"/>
      <c r="E83" s="30"/>
      <c r="F83" s="30"/>
      <c r="G83" s="30"/>
      <c r="H83" s="30"/>
      <c r="I83" s="7"/>
      <c r="J83" s="7"/>
      <c r="K83" s="7"/>
      <c r="L83" s="7"/>
      <c r="M83" s="7"/>
      <c r="N83" s="7"/>
      <c r="O83" s="7"/>
      <c r="P83" s="7"/>
      <c r="Q83" s="7"/>
      <c r="R83" s="7"/>
      <c r="S83" s="7"/>
      <c r="T83" s="7"/>
      <c r="U83" s="7"/>
      <c r="V83" s="7"/>
      <c r="W83" s="7"/>
      <c r="X83" s="7"/>
      <c r="Y83" s="7"/>
      <c r="Z83" s="7"/>
    </row>
    <row r="84" spans="1:26" ht="15.75" customHeight="1">
      <c r="A84" s="7"/>
      <c r="B84" s="7"/>
      <c r="C84" s="29"/>
      <c r="D84" s="30"/>
      <c r="E84" s="30"/>
      <c r="F84" s="30"/>
      <c r="G84" s="30"/>
      <c r="H84" s="30"/>
      <c r="I84" s="7"/>
      <c r="J84" s="7"/>
      <c r="K84" s="7"/>
      <c r="L84" s="7"/>
      <c r="M84" s="7"/>
      <c r="N84" s="7"/>
      <c r="O84" s="7"/>
      <c r="P84" s="7"/>
      <c r="Q84" s="7"/>
      <c r="R84" s="7"/>
      <c r="S84" s="7"/>
      <c r="T84" s="7"/>
      <c r="U84" s="7"/>
      <c r="V84" s="7"/>
      <c r="W84" s="7"/>
      <c r="X84" s="7"/>
      <c r="Y84" s="7"/>
      <c r="Z84" s="7"/>
    </row>
    <row r="85" spans="1:26" ht="15.75" customHeight="1">
      <c r="A85" s="7"/>
      <c r="B85" s="7"/>
      <c r="C85" s="29"/>
      <c r="D85" s="30"/>
      <c r="E85" s="30"/>
      <c r="F85" s="30"/>
      <c r="G85" s="30"/>
      <c r="H85" s="30"/>
      <c r="I85" s="7"/>
      <c r="J85" s="7"/>
      <c r="K85" s="7"/>
      <c r="L85" s="7"/>
      <c r="M85" s="7"/>
      <c r="N85" s="7"/>
      <c r="O85" s="7"/>
      <c r="P85" s="7"/>
      <c r="Q85" s="7"/>
      <c r="R85" s="7"/>
      <c r="S85" s="7"/>
      <c r="T85" s="7"/>
      <c r="U85" s="7"/>
      <c r="V85" s="7"/>
      <c r="W85" s="7"/>
      <c r="X85" s="7"/>
      <c r="Y85" s="7"/>
      <c r="Z85" s="7"/>
    </row>
    <row r="86" spans="1:26" ht="15.75" customHeight="1">
      <c r="A86" s="7"/>
      <c r="B86" s="7"/>
      <c r="C86" s="29"/>
      <c r="D86" s="30"/>
      <c r="E86" s="30"/>
      <c r="F86" s="30"/>
      <c r="G86" s="30"/>
      <c r="H86" s="30"/>
      <c r="I86" s="7"/>
      <c r="J86" s="7"/>
      <c r="K86" s="7"/>
      <c r="L86" s="7"/>
      <c r="M86" s="7"/>
      <c r="N86" s="7"/>
      <c r="O86" s="7"/>
      <c r="P86" s="7"/>
      <c r="Q86" s="7"/>
      <c r="R86" s="7"/>
      <c r="S86" s="7"/>
      <c r="T86" s="7"/>
      <c r="U86" s="7"/>
      <c r="V86" s="7"/>
      <c r="W86" s="7"/>
      <c r="X86" s="7"/>
      <c r="Y86" s="7"/>
      <c r="Z86" s="7"/>
    </row>
    <row r="87" spans="1:26" ht="15.75" customHeight="1">
      <c r="A87" s="7"/>
      <c r="B87" s="7"/>
      <c r="C87" s="29"/>
      <c r="D87" s="30"/>
      <c r="E87" s="30"/>
      <c r="F87" s="30"/>
      <c r="G87" s="30"/>
      <c r="H87" s="30"/>
      <c r="I87" s="7"/>
      <c r="J87" s="7"/>
      <c r="K87" s="7"/>
      <c r="L87" s="7"/>
      <c r="M87" s="7"/>
      <c r="N87" s="7"/>
      <c r="O87" s="7"/>
      <c r="P87" s="7"/>
      <c r="Q87" s="7"/>
      <c r="R87" s="7"/>
      <c r="S87" s="7"/>
      <c r="T87" s="7"/>
      <c r="U87" s="7"/>
      <c r="V87" s="7"/>
      <c r="W87" s="7"/>
      <c r="X87" s="7"/>
      <c r="Y87" s="7"/>
      <c r="Z87" s="7"/>
    </row>
    <row r="88" spans="1:26" ht="15.75" customHeight="1">
      <c r="A88" s="7"/>
      <c r="B88" s="7"/>
      <c r="C88" s="29"/>
      <c r="D88" s="30"/>
      <c r="E88" s="30"/>
      <c r="F88" s="30"/>
      <c r="G88" s="30"/>
      <c r="H88" s="30"/>
      <c r="I88" s="7"/>
      <c r="J88" s="7"/>
      <c r="K88" s="7"/>
      <c r="L88" s="7"/>
      <c r="M88" s="7"/>
      <c r="N88" s="7"/>
      <c r="O88" s="7"/>
      <c r="P88" s="7"/>
      <c r="Q88" s="7"/>
      <c r="R88" s="7"/>
      <c r="S88" s="7"/>
      <c r="T88" s="7"/>
      <c r="U88" s="7"/>
      <c r="V88" s="7"/>
      <c r="W88" s="7"/>
      <c r="X88" s="7"/>
      <c r="Y88" s="7"/>
      <c r="Z88" s="7"/>
    </row>
    <row r="89" spans="1:26" ht="15.75" customHeight="1">
      <c r="A89" s="7"/>
      <c r="B89" s="7"/>
      <c r="C89" s="29"/>
      <c r="D89" s="30"/>
      <c r="E89" s="30"/>
      <c r="F89" s="30"/>
      <c r="G89" s="30"/>
      <c r="H89" s="30"/>
      <c r="I89" s="7"/>
      <c r="J89" s="7"/>
      <c r="K89" s="7"/>
      <c r="L89" s="7"/>
      <c r="M89" s="7"/>
      <c r="N89" s="7"/>
      <c r="O89" s="7"/>
      <c r="P89" s="7"/>
      <c r="Q89" s="7"/>
      <c r="R89" s="7"/>
      <c r="S89" s="7"/>
      <c r="T89" s="7"/>
      <c r="U89" s="7"/>
      <c r="V89" s="7"/>
      <c r="W89" s="7"/>
      <c r="X89" s="7"/>
      <c r="Y89" s="7"/>
      <c r="Z89" s="7"/>
    </row>
    <row r="90" spans="1:26" ht="15.75" customHeight="1">
      <c r="A90" s="7"/>
      <c r="B90" s="7"/>
      <c r="C90" s="29"/>
      <c r="D90" s="30"/>
      <c r="E90" s="30"/>
      <c r="F90" s="30"/>
      <c r="G90" s="30"/>
      <c r="H90" s="30"/>
      <c r="I90" s="7"/>
      <c r="J90" s="7"/>
      <c r="K90" s="7"/>
      <c r="L90" s="7"/>
      <c r="M90" s="7"/>
      <c r="N90" s="7"/>
      <c r="O90" s="7"/>
      <c r="P90" s="7"/>
      <c r="Q90" s="7"/>
      <c r="R90" s="7"/>
      <c r="S90" s="7"/>
      <c r="T90" s="7"/>
      <c r="U90" s="7"/>
      <c r="V90" s="7"/>
      <c r="W90" s="7"/>
      <c r="X90" s="7"/>
      <c r="Y90" s="7"/>
      <c r="Z90" s="7"/>
    </row>
    <row r="91" spans="1:26" ht="15.75" customHeight="1">
      <c r="A91" s="7"/>
      <c r="B91" s="7"/>
      <c r="C91" s="29"/>
      <c r="D91" s="30"/>
      <c r="E91" s="30"/>
      <c r="F91" s="30"/>
      <c r="G91" s="30"/>
      <c r="H91" s="30"/>
      <c r="I91" s="7"/>
      <c r="J91" s="7"/>
      <c r="K91" s="7"/>
      <c r="L91" s="7"/>
      <c r="M91" s="7"/>
      <c r="N91" s="7"/>
      <c r="O91" s="7"/>
      <c r="P91" s="7"/>
      <c r="Q91" s="7"/>
      <c r="R91" s="7"/>
      <c r="S91" s="7"/>
      <c r="T91" s="7"/>
      <c r="U91" s="7"/>
      <c r="V91" s="7"/>
      <c r="W91" s="7"/>
      <c r="X91" s="7"/>
      <c r="Y91" s="7"/>
      <c r="Z91" s="7"/>
    </row>
    <row r="92" spans="1:26" ht="15.75" customHeight="1">
      <c r="A92" s="7"/>
      <c r="B92" s="7"/>
      <c r="C92" s="29"/>
      <c r="D92" s="30"/>
      <c r="E92" s="30"/>
      <c r="F92" s="30"/>
      <c r="G92" s="30"/>
      <c r="H92" s="30"/>
      <c r="I92" s="7"/>
      <c r="J92" s="7"/>
      <c r="K92" s="7"/>
      <c r="L92" s="7"/>
      <c r="M92" s="7"/>
      <c r="N92" s="7"/>
      <c r="O92" s="7"/>
      <c r="P92" s="7"/>
      <c r="Q92" s="7"/>
      <c r="R92" s="7"/>
      <c r="S92" s="7"/>
      <c r="T92" s="7"/>
      <c r="U92" s="7"/>
      <c r="V92" s="7"/>
      <c r="W92" s="7"/>
      <c r="X92" s="7"/>
      <c r="Y92" s="7"/>
      <c r="Z92" s="7"/>
    </row>
    <row r="93" spans="1:26" ht="15.75" customHeight="1">
      <c r="A93" s="7"/>
      <c r="B93" s="7"/>
      <c r="C93" s="29"/>
      <c r="D93" s="30"/>
      <c r="E93" s="30"/>
      <c r="F93" s="30"/>
      <c r="G93" s="30"/>
      <c r="H93" s="30"/>
      <c r="I93" s="7"/>
      <c r="J93" s="7"/>
      <c r="K93" s="7"/>
      <c r="L93" s="7"/>
      <c r="M93" s="7"/>
      <c r="N93" s="7"/>
      <c r="O93" s="7"/>
      <c r="P93" s="7"/>
      <c r="Q93" s="7"/>
      <c r="R93" s="7"/>
      <c r="S93" s="7"/>
      <c r="T93" s="7"/>
      <c r="U93" s="7"/>
      <c r="V93" s="7"/>
      <c r="W93" s="7"/>
      <c r="X93" s="7"/>
      <c r="Y93" s="7"/>
      <c r="Z93" s="7"/>
    </row>
    <row r="94" spans="1:26" ht="15.75" customHeight="1">
      <c r="A94" s="7"/>
      <c r="B94" s="7"/>
      <c r="C94" s="29"/>
      <c r="D94" s="30"/>
      <c r="E94" s="30"/>
      <c r="F94" s="30"/>
      <c r="G94" s="30"/>
      <c r="H94" s="30"/>
      <c r="I94" s="7"/>
      <c r="J94" s="7"/>
      <c r="K94" s="7"/>
      <c r="L94" s="7"/>
      <c r="M94" s="7"/>
      <c r="N94" s="7"/>
      <c r="O94" s="7"/>
      <c r="P94" s="7"/>
      <c r="Q94" s="7"/>
      <c r="R94" s="7"/>
      <c r="S94" s="7"/>
      <c r="T94" s="7"/>
      <c r="U94" s="7"/>
      <c r="V94" s="7"/>
      <c r="W94" s="7"/>
      <c r="X94" s="7"/>
      <c r="Y94" s="7"/>
      <c r="Z94" s="7"/>
    </row>
    <row r="95" spans="1:26" ht="15.75" customHeight="1">
      <c r="A95" s="7"/>
      <c r="B95" s="7"/>
      <c r="C95" s="29"/>
      <c r="D95" s="30"/>
      <c r="E95" s="30"/>
      <c r="F95" s="30"/>
      <c r="G95" s="30"/>
      <c r="H95" s="30"/>
      <c r="I95" s="7"/>
      <c r="J95" s="7"/>
      <c r="K95" s="7"/>
      <c r="L95" s="7"/>
      <c r="M95" s="7"/>
      <c r="N95" s="7"/>
      <c r="O95" s="7"/>
      <c r="P95" s="7"/>
      <c r="Q95" s="7"/>
      <c r="R95" s="7"/>
      <c r="S95" s="7"/>
      <c r="T95" s="7"/>
      <c r="U95" s="7"/>
      <c r="V95" s="7"/>
      <c r="W95" s="7"/>
      <c r="X95" s="7"/>
      <c r="Y95" s="7"/>
      <c r="Z95" s="7"/>
    </row>
    <row r="96" spans="1:26" ht="15.75" customHeight="1">
      <c r="A96" s="7"/>
      <c r="B96" s="7"/>
      <c r="C96" s="29"/>
      <c r="D96" s="30"/>
      <c r="E96" s="30"/>
      <c r="F96" s="30"/>
      <c r="G96" s="30"/>
      <c r="H96" s="30"/>
      <c r="I96" s="7"/>
      <c r="J96" s="7"/>
      <c r="K96" s="7"/>
      <c r="L96" s="7"/>
      <c r="M96" s="7"/>
      <c r="N96" s="7"/>
      <c r="O96" s="7"/>
      <c r="P96" s="7"/>
      <c r="Q96" s="7"/>
      <c r="R96" s="7"/>
      <c r="S96" s="7"/>
      <c r="T96" s="7"/>
      <c r="U96" s="7"/>
      <c r="V96" s="7"/>
      <c r="W96" s="7"/>
      <c r="X96" s="7"/>
      <c r="Y96" s="7"/>
      <c r="Z96" s="7"/>
    </row>
    <row r="97" spans="1:26" ht="15.75" customHeight="1">
      <c r="A97" s="7"/>
      <c r="B97" s="7"/>
      <c r="C97" s="29"/>
      <c r="D97" s="30"/>
      <c r="E97" s="30"/>
      <c r="F97" s="30"/>
      <c r="G97" s="30"/>
      <c r="H97" s="30"/>
      <c r="I97" s="7"/>
      <c r="J97" s="7"/>
      <c r="K97" s="7"/>
      <c r="L97" s="7"/>
      <c r="M97" s="7"/>
      <c r="N97" s="7"/>
      <c r="O97" s="7"/>
      <c r="P97" s="7"/>
      <c r="Q97" s="7"/>
      <c r="R97" s="7"/>
      <c r="S97" s="7"/>
      <c r="T97" s="7"/>
      <c r="U97" s="7"/>
      <c r="V97" s="7"/>
      <c r="W97" s="7"/>
      <c r="X97" s="7"/>
      <c r="Y97" s="7"/>
      <c r="Z97" s="7"/>
    </row>
    <row r="98" spans="1:26" ht="15.75" customHeight="1">
      <c r="A98" s="7"/>
      <c r="B98" s="7"/>
      <c r="C98" s="29"/>
      <c r="D98" s="30"/>
      <c r="E98" s="30"/>
      <c r="F98" s="30"/>
      <c r="G98" s="30"/>
      <c r="H98" s="30"/>
      <c r="I98" s="7"/>
      <c r="J98" s="7"/>
      <c r="K98" s="7"/>
      <c r="L98" s="7"/>
      <c r="M98" s="7"/>
      <c r="N98" s="7"/>
      <c r="O98" s="7"/>
      <c r="P98" s="7"/>
      <c r="Q98" s="7"/>
      <c r="R98" s="7"/>
      <c r="S98" s="7"/>
      <c r="T98" s="7"/>
      <c r="U98" s="7"/>
      <c r="V98" s="7"/>
      <c r="W98" s="7"/>
      <c r="X98" s="7"/>
      <c r="Y98" s="7"/>
      <c r="Z98" s="7"/>
    </row>
    <row r="99" spans="1:26" ht="15.75" customHeight="1">
      <c r="A99" s="7"/>
      <c r="B99" s="7"/>
      <c r="C99" s="29"/>
      <c r="D99" s="30"/>
      <c r="E99" s="30"/>
      <c r="F99" s="30"/>
      <c r="G99" s="30"/>
      <c r="H99" s="30"/>
      <c r="I99" s="7"/>
      <c r="J99" s="7"/>
      <c r="K99" s="7"/>
      <c r="L99" s="7"/>
      <c r="M99" s="7"/>
      <c r="N99" s="7"/>
      <c r="O99" s="7"/>
      <c r="P99" s="7"/>
      <c r="Q99" s="7"/>
      <c r="R99" s="7"/>
      <c r="S99" s="7"/>
      <c r="T99" s="7"/>
      <c r="U99" s="7"/>
      <c r="V99" s="7"/>
      <c r="W99" s="7"/>
      <c r="X99" s="7"/>
      <c r="Y99" s="7"/>
      <c r="Z99" s="7"/>
    </row>
    <row r="100" spans="1:26" ht="15.75" customHeight="1">
      <c r="A100" s="7"/>
      <c r="B100" s="7"/>
      <c r="C100" s="29"/>
      <c r="D100" s="30"/>
      <c r="E100" s="30"/>
      <c r="F100" s="30"/>
      <c r="G100" s="30"/>
      <c r="H100" s="30"/>
      <c r="I100" s="7"/>
      <c r="J100" s="7"/>
      <c r="K100" s="7"/>
      <c r="L100" s="7"/>
      <c r="M100" s="7"/>
      <c r="N100" s="7"/>
      <c r="O100" s="7"/>
      <c r="P100" s="7"/>
      <c r="Q100" s="7"/>
      <c r="R100" s="7"/>
      <c r="S100" s="7"/>
      <c r="T100" s="7"/>
      <c r="U100" s="7"/>
      <c r="V100" s="7"/>
      <c r="W100" s="7"/>
      <c r="X100" s="7"/>
      <c r="Y100" s="7"/>
      <c r="Z100" s="7"/>
    </row>
    <row r="101" spans="1:26" ht="15.75" customHeight="1">
      <c r="A101" s="7"/>
      <c r="B101" s="7"/>
      <c r="C101" s="29"/>
      <c r="D101" s="30"/>
      <c r="E101" s="30"/>
      <c r="F101" s="30"/>
      <c r="G101" s="30"/>
      <c r="H101" s="30"/>
      <c r="I101" s="7"/>
      <c r="J101" s="7"/>
      <c r="K101" s="7"/>
      <c r="L101" s="7"/>
      <c r="M101" s="7"/>
      <c r="N101" s="7"/>
      <c r="O101" s="7"/>
      <c r="P101" s="7"/>
      <c r="Q101" s="7"/>
      <c r="R101" s="7"/>
      <c r="S101" s="7"/>
      <c r="T101" s="7"/>
      <c r="U101" s="7"/>
      <c r="V101" s="7"/>
      <c r="W101" s="7"/>
      <c r="X101" s="7"/>
      <c r="Y101" s="7"/>
      <c r="Z101" s="7"/>
    </row>
    <row r="102" spans="1:26" ht="15.75" customHeight="1">
      <c r="A102" s="7"/>
      <c r="B102" s="7"/>
      <c r="C102" s="29"/>
      <c r="D102" s="30"/>
      <c r="E102" s="30"/>
      <c r="F102" s="30"/>
      <c r="G102" s="30"/>
      <c r="H102" s="30"/>
      <c r="I102" s="7"/>
      <c r="J102" s="7"/>
      <c r="K102" s="7"/>
      <c r="L102" s="7"/>
      <c r="M102" s="7"/>
      <c r="N102" s="7"/>
      <c r="O102" s="7"/>
      <c r="P102" s="7"/>
      <c r="Q102" s="7"/>
      <c r="R102" s="7"/>
      <c r="S102" s="7"/>
      <c r="T102" s="7"/>
      <c r="U102" s="7"/>
      <c r="V102" s="7"/>
      <c r="W102" s="7"/>
      <c r="X102" s="7"/>
      <c r="Y102" s="7"/>
      <c r="Z102" s="7"/>
    </row>
    <row r="103" spans="1:26" ht="15.75" customHeight="1">
      <c r="A103" s="7"/>
      <c r="B103" s="7"/>
      <c r="C103" s="29"/>
      <c r="D103" s="30"/>
      <c r="E103" s="30"/>
      <c r="F103" s="30"/>
      <c r="G103" s="30"/>
      <c r="H103" s="30"/>
      <c r="I103" s="7"/>
      <c r="J103" s="7"/>
      <c r="K103" s="7"/>
      <c r="L103" s="7"/>
      <c r="M103" s="7"/>
      <c r="N103" s="7"/>
      <c r="O103" s="7"/>
      <c r="P103" s="7"/>
      <c r="Q103" s="7"/>
      <c r="R103" s="7"/>
      <c r="S103" s="7"/>
      <c r="T103" s="7"/>
      <c r="U103" s="7"/>
      <c r="V103" s="7"/>
      <c r="W103" s="7"/>
      <c r="X103" s="7"/>
      <c r="Y103" s="7"/>
      <c r="Z103" s="7"/>
    </row>
    <row r="104" spans="1:26" ht="15.75" customHeight="1">
      <c r="A104" s="7"/>
      <c r="B104" s="7"/>
      <c r="C104" s="29"/>
      <c r="D104" s="30"/>
      <c r="E104" s="30"/>
      <c r="F104" s="30"/>
      <c r="G104" s="30"/>
      <c r="H104" s="30"/>
      <c r="I104" s="7"/>
      <c r="J104" s="7"/>
      <c r="K104" s="7"/>
      <c r="L104" s="7"/>
      <c r="M104" s="7"/>
      <c r="N104" s="7"/>
      <c r="O104" s="7"/>
      <c r="P104" s="7"/>
      <c r="Q104" s="7"/>
      <c r="R104" s="7"/>
      <c r="S104" s="7"/>
      <c r="T104" s="7"/>
      <c r="U104" s="7"/>
      <c r="V104" s="7"/>
      <c r="W104" s="7"/>
      <c r="X104" s="7"/>
      <c r="Y104" s="7"/>
      <c r="Z104" s="7"/>
    </row>
    <row r="105" spans="1:26" ht="15.75" customHeight="1">
      <c r="A105" s="7"/>
      <c r="B105" s="7"/>
      <c r="C105" s="29"/>
      <c r="D105" s="30"/>
      <c r="E105" s="30"/>
      <c r="F105" s="30"/>
      <c r="G105" s="30"/>
      <c r="H105" s="30"/>
      <c r="I105" s="7"/>
      <c r="J105" s="7"/>
      <c r="K105" s="7"/>
      <c r="L105" s="7"/>
      <c r="M105" s="7"/>
      <c r="N105" s="7"/>
      <c r="O105" s="7"/>
      <c r="P105" s="7"/>
      <c r="Q105" s="7"/>
      <c r="R105" s="7"/>
      <c r="S105" s="7"/>
      <c r="T105" s="7"/>
      <c r="U105" s="7"/>
      <c r="V105" s="7"/>
      <c r="W105" s="7"/>
      <c r="X105" s="7"/>
      <c r="Y105" s="7"/>
      <c r="Z105" s="7"/>
    </row>
    <row r="106" spans="1:26" ht="15.75" customHeight="1">
      <c r="A106" s="7"/>
      <c r="B106" s="7"/>
      <c r="C106" s="29"/>
      <c r="D106" s="30"/>
      <c r="E106" s="30"/>
      <c r="F106" s="30"/>
      <c r="G106" s="30"/>
      <c r="H106" s="30"/>
      <c r="I106" s="7"/>
      <c r="J106" s="7"/>
      <c r="K106" s="7"/>
      <c r="L106" s="7"/>
      <c r="M106" s="7"/>
      <c r="N106" s="7"/>
      <c r="O106" s="7"/>
      <c r="P106" s="7"/>
      <c r="Q106" s="7"/>
      <c r="R106" s="7"/>
      <c r="S106" s="7"/>
      <c r="T106" s="7"/>
      <c r="U106" s="7"/>
      <c r="V106" s="7"/>
      <c r="W106" s="7"/>
      <c r="X106" s="7"/>
      <c r="Y106" s="7"/>
      <c r="Z106" s="7"/>
    </row>
    <row r="107" spans="1:26" ht="15.75" customHeight="1">
      <c r="A107" s="7"/>
      <c r="B107" s="7"/>
      <c r="C107" s="29"/>
      <c r="D107" s="30"/>
      <c r="E107" s="30"/>
      <c r="F107" s="30"/>
      <c r="G107" s="30"/>
      <c r="H107" s="30"/>
      <c r="I107" s="7"/>
      <c r="J107" s="7"/>
      <c r="K107" s="7"/>
      <c r="L107" s="7"/>
      <c r="M107" s="7"/>
      <c r="N107" s="7"/>
      <c r="O107" s="7"/>
      <c r="P107" s="7"/>
      <c r="Q107" s="7"/>
      <c r="R107" s="7"/>
      <c r="S107" s="7"/>
      <c r="T107" s="7"/>
      <c r="U107" s="7"/>
      <c r="V107" s="7"/>
      <c r="W107" s="7"/>
      <c r="X107" s="7"/>
      <c r="Y107" s="7"/>
      <c r="Z107" s="7"/>
    </row>
    <row r="108" spans="1:26" ht="15.75" customHeight="1">
      <c r="A108" s="7"/>
      <c r="B108" s="7"/>
      <c r="C108" s="29"/>
      <c r="D108" s="30"/>
      <c r="E108" s="30"/>
      <c r="F108" s="30"/>
      <c r="G108" s="30"/>
      <c r="H108" s="30"/>
      <c r="I108" s="7"/>
      <c r="J108" s="7"/>
      <c r="K108" s="7"/>
      <c r="L108" s="7"/>
      <c r="M108" s="7"/>
      <c r="N108" s="7"/>
      <c r="O108" s="7"/>
      <c r="P108" s="7"/>
      <c r="Q108" s="7"/>
      <c r="R108" s="7"/>
      <c r="S108" s="7"/>
      <c r="T108" s="7"/>
      <c r="U108" s="7"/>
      <c r="V108" s="7"/>
      <c r="W108" s="7"/>
      <c r="X108" s="7"/>
      <c r="Y108" s="7"/>
      <c r="Z108" s="7"/>
    </row>
    <row r="109" spans="1:26" ht="15.75" customHeight="1">
      <c r="A109" s="7"/>
      <c r="B109" s="7"/>
      <c r="C109" s="29"/>
      <c r="D109" s="30"/>
      <c r="E109" s="30"/>
      <c r="F109" s="30"/>
      <c r="G109" s="30"/>
      <c r="H109" s="30"/>
      <c r="I109" s="7"/>
      <c r="J109" s="7"/>
      <c r="K109" s="7"/>
      <c r="L109" s="7"/>
      <c r="M109" s="7"/>
      <c r="N109" s="7"/>
      <c r="O109" s="7"/>
      <c r="P109" s="7"/>
      <c r="Q109" s="7"/>
      <c r="R109" s="7"/>
      <c r="S109" s="7"/>
      <c r="T109" s="7"/>
      <c r="U109" s="7"/>
      <c r="V109" s="7"/>
      <c r="W109" s="7"/>
      <c r="X109" s="7"/>
      <c r="Y109" s="7"/>
      <c r="Z109" s="7"/>
    </row>
    <row r="110" spans="1:26" ht="15.75" customHeight="1">
      <c r="A110" s="7"/>
      <c r="B110" s="7"/>
      <c r="C110" s="29"/>
      <c r="D110" s="30"/>
      <c r="E110" s="30"/>
      <c r="F110" s="30"/>
      <c r="G110" s="30"/>
      <c r="H110" s="30"/>
      <c r="I110" s="7"/>
      <c r="J110" s="7"/>
      <c r="K110" s="7"/>
      <c r="L110" s="7"/>
      <c r="M110" s="7"/>
      <c r="N110" s="7"/>
      <c r="O110" s="7"/>
      <c r="P110" s="7"/>
      <c r="Q110" s="7"/>
      <c r="R110" s="7"/>
      <c r="S110" s="7"/>
      <c r="T110" s="7"/>
      <c r="U110" s="7"/>
      <c r="V110" s="7"/>
      <c r="W110" s="7"/>
      <c r="X110" s="7"/>
      <c r="Y110" s="7"/>
      <c r="Z110" s="7"/>
    </row>
    <row r="111" spans="1:26" ht="15.75" customHeight="1">
      <c r="A111" s="7"/>
      <c r="B111" s="7"/>
      <c r="C111" s="29"/>
      <c r="D111" s="30"/>
      <c r="E111" s="30"/>
      <c r="F111" s="30"/>
      <c r="G111" s="30"/>
      <c r="H111" s="30"/>
      <c r="I111" s="7"/>
      <c r="J111" s="7"/>
      <c r="K111" s="7"/>
      <c r="L111" s="7"/>
      <c r="M111" s="7"/>
      <c r="N111" s="7"/>
      <c r="O111" s="7"/>
      <c r="P111" s="7"/>
      <c r="Q111" s="7"/>
      <c r="R111" s="7"/>
      <c r="S111" s="7"/>
      <c r="T111" s="7"/>
      <c r="U111" s="7"/>
      <c r="V111" s="7"/>
      <c r="W111" s="7"/>
      <c r="X111" s="7"/>
      <c r="Y111" s="7"/>
      <c r="Z111" s="7"/>
    </row>
    <row r="112" spans="1:26" ht="15.75" customHeight="1">
      <c r="A112" s="7"/>
      <c r="B112" s="7"/>
      <c r="C112" s="29"/>
      <c r="D112" s="30"/>
      <c r="E112" s="30"/>
      <c r="F112" s="30"/>
      <c r="G112" s="30"/>
      <c r="H112" s="30"/>
      <c r="I112" s="7"/>
      <c r="J112" s="7"/>
      <c r="K112" s="7"/>
      <c r="L112" s="7"/>
      <c r="M112" s="7"/>
      <c r="N112" s="7"/>
      <c r="O112" s="7"/>
      <c r="P112" s="7"/>
      <c r="Q112" s="7"/>
      <c r="R112" s="7"/>
      <c r="S112" s="7"/>
      <c r="T112" s="7"/>
      <c r="U112" s="7"/>
      <c r="V112" s="7"/>
      <c r="W112" s="7"/>
      <c r="X112" s="7"/>
      <c r="Y112" s="7"/>
      <c r="Z112" s="7"/>
    </row>
    <row r="113" spans="1:26" ht="15.75" customHeight="1">
      <c r="A113" s="7"/>
      <c r="B113" s="7"/>
      <c r="C113" s="29"/>
      <c r="D113" s="30"/>
      <c r="E113" s="30"/>
      <c r="F113" s="30"/>
      <c r="G113" s="30"/>
      <c r="H113" s="30"/>
      <c r="I113" s="7"/>
      <c r="J113" s="7"/>
      <c r="K113" s="7"/>
      <c r="L113" s="7"/>
      <c r="M113" s="7"/>
      <c r="N113" s="7"/>
      <c r="O113" s="7"/>
      <c r="P113" s="7"/>
      <c r="Q113" s="7"/>
      <c r="R113" s="7"/>
      <c r="S113" s="7"/>
      <c r="T113" s="7"/>
      <c r="U113" s="7"/>
      <c r="V113" s="7"/>
      <c r="W113" s="7"/>
      <c r="X113" s="7"/>
      <c r="Y113" s="7"/>
      <c r="Z113" s="7"/>
    </row>
    <row r="114" spans="1:26" ht="15.75" customHeight="1">
      <c r="A114" s="7"/>
      <c r="B114" s="7"/>
      <c r="C114" s="29"/>
      <c r="D114" s="30"/>
      <c r="E114" s="30"/>
      <c r="F114" s="30"/>
      <c r="G114" s="30"/>
      <c r="H114" s="30"/>
      <c r="I114" s="7"/>
      <c r="J114" s="7"/>
      <c r="K114" s="7"/>
      <c r="L114" s="7"/>
      <c r="M114" s="7"/>
      <c r="N114" s="7"/>
      <c r="O114" s="7"/>
      <c r="P114" s="7"/>
      <c r="Q114" s="7"/>
      <c r="R114" s="7"/>
      <c r="S114" s="7"/>
      <c r="T114" s="7"/>
      <c r="U114" s="7"/>
      <c r="V114" s="7"/>
      <c r="W114" s="7"/>
      <c r="X114" s="7"/>
      <c r="Y114" s="7"/>
      <c r="Z114" s="7"/>
    </row>
    <row r="115" spans="1:26" ht="15.75" customHeight="1">
      <c r="A115" s="7"/>
      <c r="B115" s="7"/>
      <c r="C115" s="29"/>
      <c r="D115" s="30"/>
      <c r="E115" s="30"/>
      <c r="F115" s="30"/>
      <c r="G115" s="30"/>
      <c r="H115" s="30"/>
      <c r="I115" s="7"/>
      <c r="J115" s="7"/>
      <c r="K115" s="7"/>
      <c r="L115" s="7"/>
      <c r="M115" s="7"/>
      <c r="N115" s="7"/>
      <c r="O115" s="7"/>
      <c r="P115" s="7"/>
      <c r="Q115" s="7"/>
      <c r="R115" s="7"/>
      <c r="S115" s="7"/>
      <c r="T115" s="7"/>
      <c r="U115" s="7"/>
      <c r="V115" s="7"/>
      <c r="W115" s="7"/>
      <c r="X115" s="7"/>
      <c r="Y115" s="7"/>
      <c r="Z115" s="7"/>
    </row>
    <row r="116" spans="1:26" ht="15.75" customHeight="1">
      <c r="A116" s="7"/>
      <c r="B116" s="7"/>
      <c r="C116" s="29"/>
      <c r="D116" s="30"/>
      <c r="E116" s="30"/>
      <c r="F116" s="30"/>
      <c r="G116" s="30"/>
      <c r="H116" s="30"/>
      <c r="I116" s="7"/>
      <c r="J116" s="7"/>
      <c r="K116" s="7"/>
      <c r="L116" s="7"/>
      <c r="M116" s="7"/>
      <c r="N116" s="7"/>
      <c r="O116" s="7"/>
      <c r="P116" s="7"/>
      <c r="Q116" s="7"/>
      <c r="R116" s="7"/>
      <c r="S116" s="7"/>
      <c r="T116" s="7"/>
      <c r="U116" s="7"/>
      <c r="V116" s="7"/>
      <c r="W116" s="7"/>
      <c r="X116" s="7"/>
      <c r="Y116" s="7"/>
      <c r="Z116" s="7"/>
    </row>
    <row r="117" spans="1:26" ht="15.75" customHeight="1">
      <c r="A117" s="7"/>
      <c r="B117" s="7"/>
      <c r="C117" s="29"/>
      <c r="D117" s="30"/>
      <c r="E117" s="30"/>
      <c r="F117" s="30"/>
      <c r="G117" s="30"/>
      <c r="H117" s="30"/>
      <c r="I117" s="7"/>
      <c r="J117" s="7"/>
      <c r="K117" s="7"/>
      <c r="L117" s="7"/>
      <c r="M117" s="7"/>
      <c r="N117" s="7"/>
      <c r="O117" s="7"/>
      <c r="P117" s="7"/>
      <c r="Q117" s="7"/>
      <c r="R117" s="7"/>
      <c r="S117" s="7"/>
      <c r="T117" s="7"/>
      <c r="U117" s="7"/>
      <c r="V117" s="7"/>
      <c r="W117" s="7"/>
      <c r="X117" s="7"/>
      <c r="Y117" s="7"/>
      <c r="Z117" s="7"/>
    </row>
    <row r="118" spans="1:26" ht="15.75" customHeight="1">
      <c r="A118" s="7"/>
      <c r="B118" s="7"/>
      <c r="C118" s="29"/>
      <c r="D118" s="30"/>
      <c r="E118" s="30"/>
      <c r="F118" s="30"/>
      <c r="G118" s="30"/>
      <c r="H118" s="30"/>
      <c r="I118" s="7"/>
      <c r="J118" s="7"/>
      <c r="K118" s="7"/>
      <c r="L118" s="7"/>
      <c r="M118" s="7"/>
      <c r="N118" s="7"/>
      <c r="O118" s="7"/>
      <c r="P118" s="7"/>
      <c r="Q118" s="7"/>
      <c r="R118" s="7"/>
      <c r="S118" s="7"/>
      <c r="T118" s="7"/>
      <c r="U118" s="7"/>
      <c r="V118" s="7"/>
      <c r="W118" s="7"/>
      <c r="X118" s="7"/>
      <c r="Y118" s="7"/>
      <c r="Z118" s="7"/>
    </row>
    <row r="119" spans="1:26" ht="15.75" customHeight="1">
      <c r="A119" s="7"/>
      <c r="B119" s="7"/>
      <c r="C119" s="29"/>
      <c r="D119" s="30"/>
      <c r="E119" s="30"/>
      <c r="F119" s="30"/>
      <c r="G119" s="30"/>
      <c r="H119" s="30"/>
      <c r="I119" s="7"/>
      <c r="J119" s="7"/>
      <c r="K119" s="7"/>
      <c r="L119" s="7"/>
      <c r="M119" s="7"/>
      <c r="N119" s="7"/>
      <c r="O119" s="7"/>
      <c r="P119" s="7"/>
      <c r="Q119" s="7"/>
      <c r="R119" s="7"/>
      <c r="S119" s="7"/>
      <c r="T119" s="7"/>
      <c r="U119" s="7"/>
      <c r="V119" s="7"/>
      <c r="W119" s="7"/>
      <c r="X119" s="7"/>
      <c r="Y119" s="7"/>
      <c r="Z119" s="7"/>
    </row>
    <row r="120" spans="1:26" ht="15.75" customHeight="1">
      <c r="A120" s="7"/>
      <c r="B120" s="7"/>
      <c r="C120" s="29"/>
      <c r="D120" s="30"/>
      <c r="E120" s="30"/>
      <c r="F120" s="30"/>
      <c r="G120" s="30"/>
      <c r="H120" s="30"/>
      <c r="I120" s="7"/>
      <c r="J120" s="7"/>
      <c r="K120" s="7"/>
      <c r="L120" s="7"/>
      <c r="M120" s="7"/>
      <c r="N120" s="7"/>
      <c r="O120" s="7"/>
      <c r="P120" s="7"/>
      <c r="Q120" s="7"/>
      <c r="R120" s="7"/>
      <c r="S120" s="7"/>
      <c r="T120" s="7"/>
      <c r="U120" s="7"/>
      <c r="V120" s="7"/>
      <c r="W120" s="7"/>
      <c r="X120" s="7"/>
      <c r="Y120" s="7"/>
      <c r="Z120" s="7"/>
    </row>
    <row r="121" spans="1:26" ht="15.75" customHeight="1">
      <c r="A121" s="7"/>
      <c r="B121" s="7"/>
      <c r="C121" s="29"/>
      <c r="D121" s="30"/>
      <c r="E121" s="30"/>
      <c r="F121" s="30"/>
      <c r="G121" s="30"/>
      <c r="H121" s="30"/>
      <c r="I121" s="7"/>
      <c r="J121" s="7"/>
      <c r="K121" s="7"/>
      <c r="L121" s="7"/>
      <c r="M121" s="7"/>
      <c r="N121" s="7"/>
      <c r="O121" s="7"/>
      <c r="P121" s="7"/>
      <c r="Q121" s="7"/>
      <c r="R121" s="7"/>
      <c r="S121" s="7"/>
      <c r="T121" s="7"/>
      <c r="U121" s="7"/>
      <c r="V121" s="7"/>
      <c r="W121" s="7"/>
      <c r="X121" s="7"/>
      <c r="Y121" s="7"/>
      <c r="Z121" s="7"/>
    </row>
    <row r="122" spans="1:26" ht="15.75" customHeight="1">
      <c r="A122" s="7"/>
      <c r="B122" s="7"/>
      <c r="C122" s="29"/>
      <c r="D122" s="30"/>
      <c r="E122" s="30"/>
      <c r="F122" s="30"/>
      <c r="G122" s="30"/>
      <c r="H122" s="30"/>
      <c r="I122" s="7"/>
      <c r="J122" s="7"/>
      <c r="K122" s="7"/>
      <c r="L122" s="7"/>
      <c r="M122" s="7"/>
      <c r="N122" s="7"/>
      <c r="O122" s="7"/>
      <c r="P122" s="7"/>
      <c r="Q122" s="7"/>
      <c r="R122" s="7"/>
      <c r="S122" s="7"/>
      <c r="T122" s="7"/>
      <c r="U122" s="7"/>
      <c r="V122" s="7"/>
      <c r="W122" s="7"/>
      <c r="X122" s="7"/>
      <c r="Y122" s="7"/>
      <c r="Z122" s="7"/>
    </row>
    <row r="123" spans="1:26" ht="15.75" customHeight="1">
      <c r="A123" s="7"/>
      <c r="B123" s="7"/>
      <c r="C123" s="29"/>
      <c r="D123" s="30"/>
      <c r="E123" s="30"/>
      <c r="F123" s="30"/>
      <c r="G123" s="30"/>
      <c r="H123" s="30"/>
      <c r="I123" s="7"/>
      <c r="J123" s="7"/>
      <c r="K123" s="7"/>
      <c r="L123" s="7"/>
      <c r="M123" s="7"/>
      <c r="N123" s="7"/>
      <c r="O123" s="7"/>
      <c r="P123" s="7"/>
      <c r="Q123" s="7"/>
      <c r="R123" s="7"/>
      <c r="S123" s="7"/>
      <c r="T123" s="7"/>
      <c r="U123" s="7"/>
      <c r="V123" s="7"/>
      <c r="W123" s="7"/>
      <c r="X123" s="7"/>
      <c r="Y123" s="7"/>
      <c r="Z123" s="7"/>
    </row>
    <row r="124" spans="1:26" ht="15.75" customHeight="1">
      <c r="A124" s="7"/>
      <c r="B124" s="7"/>
      <c r="C124" s="29"/>
      <c r="D124" s="30"/>
      <c r="E124" s="30"/>
      <c r="F124" s="30"/>
      <c r="G124" s="30"/>
      <c r="H124" s="30"/>
      <c r="I124" s="7"/>
      <c r="J124" s="7"/>
      <c r="K124" s="7"/>
      <c r="L124" s="7"/>
      <c r="M124" s="7"/>
      <c r="N124" s="7"/>
      <c r="O124" s="7"/>
      <c r="P124" s="7"/>
      <c r="Q124" s="7"/>
      <c r="R124" s="7"/>
      <c r="S124" s="7"/>
      <c r="T124" s="7"/>
      <c r="U124" s="7"/>
      <c r="V124" s="7"/>
      <c r="W124" s="7"/>
      <c r="X124" s="7"/>
      <c r="Y124" s="7"/>
      <c r="Z124" s="7"/>
    </row>
    <row r="125" spans="1:26" ht="15.75" customHeight="1">
      <c r="A125" s="7"/>
      <c r="B125" s="7"/>
      <c r="C125" s="29"/>
      <c r="D125" s="30"/>
      <c r="E125" s="30"/>
      <c r="F125" s="30"/>
      <c r="G125" s="30"/>
      <c r="H125" s="30"/>
      <c r="I125" s="7"/>
      <c r="J125" s="7"/>
      <c r="K125" s="7"/>
      <c r="L125" s="7"/>
      <c r="M125" s="7"/>
      <c r="N125" s="7"/>
      <c r="O125" s="7"/>
      <c r="P125" s="7"/>
      <c r="Q125" s="7"/>
      <c r="R125" s="7"/>
      <c r="S125" s="7"/>
      <c r="T125" s="7"/>
      <c r="U125" s="7"/>
      <c r="V125" s="7"/>
      <c r="W125" s="7"/>
      <c r="X125" s="7"/>
      <c r="Y125" s="7"/>
      <c r="Z125" s="7"/>
    </row>
    <row r="126" spans="1:26" ht="15.75" customHeight="1">
      <c r="A126" s="7"/>
      <c r="B126" s="7"/>
      <c r="C126" s="29"/>
      <c r="D126" s="30"/>
      <c r="E126" s="30"/>
      <c r="F126" s="30"/>
      <c r="G126" s="30"/>
      <c r="H126" s="30"/>
      <c r="I126" s="7"/>
      <c r="J126" s="7"/>
      <c r="K126" s="7"/>
      <c r="L126" s="7"/>
      <c r="M126" s="7"/>
      <c r="N126" s="7"/>
      <c r="O126" s="7"/>
      <c r="P126" s="7"/>
      <c r="Q126" s="7"/>
      <c r="R126" s="7"/>
      <c r="S126" s="7"/>
      <c r="T126" s="7"/>
      <c r="U126" s="7"/>
      <c r="V126" s="7"/>
      <c r="W126" s="7"/>
      <c r="X126" s="7"/>
      <c r="Y126" s="7"/>
      <c r="Z126" s="7"/>
    </row>
    <row r="127" spans="1:26" ht="15.75" customHeight="1">
      <c r="A127" s="7"/>
      <c r="B127" s="7"/>
      <c r="C127" s="29"/>
      <c r="D127" s="30"/>
      <c r="E127" s="30"/>
      <c r="F127" s="30"/>
      <c r="G127" s="30"/>
      <c r="H127" s="30"/>
      <c r="I127" s="7"/>
      <c r="J127" s="7"/>
      <c r="K127" s="7"/>
      <c r="L127" s="7"/>
      <c r="M127" s="7"/>
      <c r="N127" s="7"/>
      <c r="O127" s="7"/>
      <c r="P127" s="7"/>
      <c r="Q127" s="7"/>
      <c r="R127" s="7"/>
      <c r="S127" s="7"/>
      <c r="T127" s="7"/>
      <c r="U127" s="7"/>
      <c r="V127" s="7"/>
      <c r="W127" s="7"/>
      <c r="X127" s="7"/>
      <c r="Y127" s="7"/>
      <c r="Z127" s="7"/>
    </row>
    <row r="128" spans="1:26" ht="15.75" customHeight="1">
      <c r="A128" s="7"/>
      <c r="B128" s="7"/>
      <c r="C128" s="29"/>
      <c r="D128" s="30"/>
      <c r="E128" s="30"/>
      <c r="F128" s="30"/>
      <c r="G128" s="30"/>
      <c r="H128" s="30"/>
      <c r="I128" s="7"/>
      <c r="J128" s="7"/>
      <c r="K128" s="7"/>
      <c r="L128" s="7"/>
      <c r="M128" s="7"/>
      <c r="N128" s="7"/>
      <c r="O128" s="7"/>
      <c r="P128" s="7"/>
      <c r="Q128" s="7"/>
      <c r="R128" s="7"/>
      <c r="S128" s="7"/>
      <c r="T128" s="7"/>
      <c r="U128" s="7"/>
      <c r="V128" s="7"/>
      <c r="W128" s="7"/>
      <c r="X128" s="7"/>
      <c r="Y128" s="7"/>
      <c r="Z128" s="7"/>
    </row>
    <row r="129" spans="1:26" ht="15.75" customHeight="1">
      <c r="A129" s="7"/>
      <c r="B129" s="7"/>
      <c r="C129" s="29"/>
      <c r="D129" s="30"/>
      <c r="E129" s="30"/>
      <c r="F129" s="30"/>
      <c r="G129" s="30"/>
      <c r="H129" s="30"/>
      <c r="I129" s="7"/>
      <c r="J129" s="7"/>
      <c r="K129" s="7"/>
      <c r="L129" s="7"/>
      <c r="M129" s="7"/>
      <c r="N129" s="7"/>
      <c r="O129" s="7"/>
      <c r="P129" s="7"/>
      <c r="Q129" s="7"/>
      <c r="R129" s="7"/>
      <c r="S129" s="7"/>
      <c r="T129" s="7"/>
      <c r="U129" s="7"/>
      <c r="V129" s="7"/>
      <c r="W129" s="7"/>
      <c r="X129" s="7"/>
      <c r="Y129" s="7"/>
      <c r="Z129" s="7"/>
    </row>
    <row r="130" spans="1:26" ht="15.75" customHeight="1">
      <c r="A130" s="7"/>
      <c r="B130" s="7"/>
      <c r="C130" s="29"/>
      <c r="D130" s="30"/>
      <c r="E130" s="30"/>
      <c r="F130" s="30"/>
      <c r="G130" s="30"/>
      <c r="H130" s="30"/>
      <c r="I130" s="7"/>
      <c r="J130" s="7"/>
      <c r="K130" s="7"/>
      <c r="L130" s="7"/>
      <c r="M130" s="7"/>
      <c r="N130" s="7"/>
      <c r="O130" s="7"/>
      <c r="P130" s="7"/>
      <c r="Q130" s="7"/>
      <c r="R130" s="7"/>
      <c r="S130" s="7"/>
      <c r="T130" s="7"/>
      <c r="U130" s="7"/>
      <c r="V130" s="7"/>
      <c r="W130" s="7"/>
      <c r="X130" s="7"/>
      <c r="Y130" s="7"/>
      <c r="Z130" s="7"/>
    </row>
    <row r="131" spans="1:26" ht="15.75" customHeight="1">
      <c r="A131" s="7"/>
      <c r="B131" s="7"/>
      <c r="C131" s="29"/>
      <c r="D131" s="30"/>
      <c r="E131" s="30"/>
      <c r="F131" s="30"/>
      <c r="G131" s="30"/>
      <c r="H131" s="30"/>
      <c r="I131" s="7"/>
      <c r="J131" s="7"/>
      <c r="K131" s="7"/>
      <c r="L131" s="7"/>
      <c r="M131" s="7"/>
      <c r="N131" s="7"/>
      <c r="O131" s="7"/>
      <c r="P131" s="7"/>
      <c r="Q131" s="7"/>
      <c r="R131" s="7"/>
      <c r="S131" s="7"/>
      <c r="T131" s="7"/>
      <c r="U131" s="7"/>
      <c r="V131" s="7"/>
      <c r="W131" s="7"/>
      <c r="X131" s="7"/>
      <c r="Y131" s="7"/>
      <c r="Z131" s="7"/>
    </row>
    <row r="132" spans="1:26" ht="15.75" customHeight="1">
      <c r="A132" s="7"/>
      <c r="B132" s="7"/>
      <c r="C132" s="29"/>
      <c r="D132" s="30"/>
      <c r="E132" s="30"/>
      <c r="F132" s="30"/>
      <c r="G132" s="30"/>
      <c r="H132" s="30"/>
      <c r="I132" s="7"/>
      <c r="J132" s="7"/>
      <c r="K132" s="7"/>
      <c r="L132" s="7"/>
      <c r="M132" s="7"/>
      <c r="N132" s="7"/>
      <c r="O132" s="7"/>
      <c r="P132" s="7"/>
      <c r="Q132" s="7"/>
      <c r="R132" s="7"/>
      <c r="S132" s="7"/>
      <c r="T132" s="7"/>
      <c r="U132" s="7"/>
      <c r="V132" s="7"/>
      <c r="W132" s="7"/>
      <c r="X132" s="7"/>
      <c r="Y132" s="7"/>
      <c r="Z132" s="7"/>
    </row>
    <row r="133" spans="1:26" ht="15.75" customHeight="1">
      <c r="A133" s="7"/>
      <c r="B133" s="7"/>
      <c r="C133" s="29"/>
      <c r="D133" s="30"/>
      <c r="E133" s="30"/>
      <c r="F133" s="30"/>
      <c r="G133" s="30"/>
      <c r="H133" s="30"/>
      <c r="I133" s="7"/>
      <c r="J133" s="7"/>
      <c r="K133" s="7"/>
      <c r="L133" s="7"/>
      <c r="M133" s="7"/>
      <c r="N133" s="7"/>
      <c r="O133" s="7"/>
      <c r="P133" s="7"/>
      <c r="Q133" s="7"/>
      <c r="R133" s="7"/>
      <c r="S133" s="7"/>
      <c r="T133" s="7"/>
      <c r="U133" s="7"/>
      <c r="V133" s="7"/>
      <c r="W133" s="7"/>
      <c r="X133" s="7"/>
      <c r="Y133" s="7"/>
      <c r="Z133" s="7"/>
    </row>
    <row r="134" spans="1:26" ht="15.75" customHeight="1">
      <c r="A134" s="7"/>
      <c r="B134" s="7"/>
      <c r="C134" s="29"/>
      <c r="D134" s="30"/>
      <c r="E134" s="30"/>
      <c r="F134" s="30"/>
      <c r="G134" s="30"/>
      <c r="H134" s="30"/>
      <c r="I134" s="7"/>
      <c r="J134" s="7"/>
      <c r="K134" s="7"/>
      <c r="L134" s="7"/>
      <c r="M134" s="7"/>
      <c r="N134" s="7"/>
      <c r="O134" s="7"/>
      <c r="P134" s="7"/>
      <c r="Q134" s="7"/>
      <c r="R134" s="7"/>
      <c r="S134" s="7"/>
      <c r="T134" s="7"/>
      <c r="U134" s="7"/>
      <c r="V134" s="7"/>
      <c r="W134" s="7"/>
      <c r="X134" s="7"/>
      <c r="Y134" s="7"/>
      <c r="Z134" s="7"/>
    </row>
    <row r="135" spans="1:26" ht="15.75" customHeight="1">
      <c r="A135" s="7"/>
      <c r="B135" s="7"/>
      <c r="C135" s="29"/>
      <c r="D135" s="30"/>
      <c r="E135" s="30"/>
      <c r="F135" s="30"/>
      <c r="G135" s="30"/>
      <c r="H135" s="30"/>
      <c r="I135" s="7"/>
      <c r="J135" s="7"/>
      <c r="K135" s="7"/>
      <c r="L135" s="7"/>
      <c r="M135" s="7"/>
      <c r="N135" s="7"/>
      <c r="O135" s="7"/>
      <c r="P135" s="7"/>
      <c r="Q135" s="7"/>
      <c r="R135" s="7"/>
      <c r="S135" s="7"/>
      <c r="T135" s="7"/>
      <c r="U135" s="7"/>
      <c r="V135" s="7"/>
      <c r="W135" s="7"/>
      <c r="X135" s="7"/>
      <c r="Y135" s="7"/>
      <c r="Z135" s="7"/>
    </row>
    <row r="136" spans="1:26" ht="15.75" customHeight="1">
      <c r="A136" s="7"/>
      <c r="B136" s="7"/>
      <c r="C136" s="29"/>
      <c r="D136" s="30"/>
      <c r="E136" s="30"/>
      <c r="F136" s="30"/>
      <c r="G136" s="30"/>
      <c r="H136" s="30"/>
      <c r="I136" s="7"/>
      <c r="J136" s="7"/>
      <c r="K136" s="7"/>
      <c r="L136" s="7"/>
      <c r="M136" s="7"/>
      <c r="N136" s="7"/>
      <c r="O136" s="7"/>
      <c r="P136" s="7"/>
      <c r="Q136" s="7"/>
      <c r="R136" s="7"/>
      <c r="S136" s="7"/>
      <c r="T136" s="7"/>
      <c r="U136" s="7"/>
      <c r="V136" s="7"/>
      <c r="W136" s="7"/>
      <c r="X136" s="7"/>
      <c r="Y136" s="7"/>
      <c r="Z136" s="7"/>
    </row>
    <row r="137" spans="1:26" ht="15.75" customHeight="1">
      <c r="A137" s="7"/>
      <c r="B137" s="7"/>
      <c r="C137" s="29"/>
      <c r="D137" s="30"/>
      <c r="E137" s="30"/>
      <c r="F137" s="30"/>
      <c r="G137" s="30"/>
      <c r="H137" s="30"/>
      <c r="I137" s="7"/>
      <c r="J137" s="7"/>
      <c r="K137" s="7"/>
      <c r="L137" s="7"/>
      <c r="M137" s="7"/>
      <c r="N137" s="7"/>
      <c r="O137" s="7"/>
      <c r="P137" s="7"/>
      <c r="Q137" s="7"/>
      <c r="R137" s="7"/>
      <c r="S137" s="7"/>
      <c r="T137" s="7"/>
      <c r="U137" s="7"/>
      <c r="V137" s="7"/>
      <c r="W137" s="7"/>
      <c r="X137" s="7"/>
      <c r="Y137" s="7"/>
      <c r="Z137" s="7"/>
    </row>
    <row r="138" spans="1:26" ht="15.75" customHeight="1">
      <c r="A138" s="7"/>
      <c r="B138" s="7"/>
      <c r="C138" s="29"/>
      <c r="D138" s="30"/>
      <c r="E138" s="30"/>
      <c r="F138" s="30"/>
      <c r="G138" s="30"/>
      <c r="H138" s="30"/>
      <c r="I138" s="7"/>
      <c r="J138" s="7"/>
      <c r="K138" s="7"/>
      <c r="L138" s="7"/>
      <c r="M138" s="7"/>
      <c r="N138" s="7"/>
      <c r="O138" s="7"/>
      <c r="P138" s="7"/>
      <c r="Q138" s="7"/>
      <c r="R138" s="7"/>
      <c r="S138" s="7"/>
      <c r="T138" s="7"/>
      <c r="U138" s="7"/>
      <c r="V138" s="7"/>
      <c r="W138" s="7"/>
      <c r="X138" s="7"/>
      <c r="Y138" s="7"/>
      <c r="Z138" s="7"/>
    </row>
    <row r="139" spans="1:26" ht="15.75" customHeight="1">
      <c r="A139" s="7"/>
      <c r="B139" s="7"/>
      <c r="C139" s="29"/>
      <c r="D139" s="30"/>
      <c r="E139" s="30"/>
      <c r="F139" s="30"/>
      <c r="G139" s="30"/>
      <c r="H139" s="30"/>
      <c r="I139" s="7"/>
      <c r="J139" s="7"/>
      <c r="K139" s="7"/>
      <c r="L139" s="7"/>
      <c r="M139" s="7"/>
      <c r="N139" s="7"/>
      <c r="O139" s="7"/>
      <c r="P139" s="7"/>
      <c r="Q139" s="7"/>
      <c r="R139" s="7"/>
      <c r="S139" s="7"/>
      <c r="T139" s="7"/>
      <c r="U139" s="7"/>
      <c r="V139" s="7"/>
      <c r="W139" s="7"/>
      <c r="X139" s="7"/>
      <c r="Y139" s="7"/>
      <c r="Z139" s="7"/>
    </row>
    <row r="140" spans="1:26" ht="15.75" customHeight="1">
      <c r="A140" s="7"/>
      <c r="B140" s="7"/>
      <c r="C140" s="29"/>
      <c r="D140" s="30"/>
      <c r="E140" s="30"/>
      <c r="F140" s="30"/>
      <c r="G140" s="30"/>
      <c r="H140" s="30"/>
      <c r="I140" s="7"/>
      <c r="J140" s="7"/>
      <c r="K140" s="7"/>
      <c r="L140" s="7"/>
      <c r="M140" s="7"/>
      <c r="N140" s="7"/>
      <c r="O140" s="7"/>
      <c r="P140" s="7"/>
      <c r="Q140" s="7"/>
      <c r="R140" s="7"/>
      <c r="S140" s="7"/>
      <c r="T140" s="7"/>
      <c r="U140" s="7"/>
      <c r="V140" s="7"/>
      <c r="W140" s="7"/>
      <c r="X140" s="7"/>
      <c r="Y140" s="7"/>
      <c r="Z140" s="7"/>
    </row>
    <row r="141" spans="1:26" ht="15.75" customHeight="1">
      <c r="A141" s="7"/>
      <c r="B141" s="7"/>
      <c r="C141" s="29"/>
      <c r="D141" s="30"/>
      <c r="E141" s="30"/>
      <c r="F141" s="30"/>
      <c r="G141" s="30"/>
      <c r="H141" s="30"/>
      <c r="I141" s="7"/>
      <c r="J141" s="7"/>
      <c r="K141" s="7"/>
      <c r="L141" s="7"/>
      <c r="M141" s="7"/>
      <c r="N141" s="7"/>
      <c r="O141" s="7"/>
      <c r="P141" s="7"/>
      <c r="Q141" s="7"/>
      <c r="R141" s="7"/>
      <c r="S141" s="7"/>
      <c r="T141" s="7"/>
      <c r="U141" s="7"/>
      <c r="V141" s="7"/>
      <c r="W141" s="7"/>
      <c r="X141" s="7"/>
      <c r="Y141" s="7"/>
      <c r="Z141" s="7"/>
    </row>
    <row r="142" spans="1:26" ht="15.75" customHeight="1">
      <c r="A142" s="7"/>
      <c r="B142" s="7"/>
      <c r="C142" s="29"/>
      <c r="D142" s="30"/>
      <c r="E142" s="30"/>
      <c r="F142" s="30"/>
      <c r="G142" s="30"/>
      <c r="H142" s="30"/>
      <c r="I142" s="7"/>
      <c r="J142" s="7"/>
      <c r="K142" s="7"/>
      <c r="L142" s="7"/>
      <c r="M142" s="7"/>
      <c r="N142" s="7"/>
      <c r="O142" s="7"/>
      <c r="P142" s="7"/>
      <c r="Q142" s="7"/>
      <c r="R142" s="7"/>
      <c r="S142" s="7"/>
      <c r="T142" s="7"/>
      <c r="U142" s="7"/>
      <c r="V142" s="7"/>
      <c r="W142" s="7"/>
      <c r="X142" s="7"/>
      <c r="Y142" s="7"/>
      <c r="Z142" s="7"/>
    </row>
    <row r="143" spans="1:26" ht="15.75" customHeight="1">
      <c r="A143" s="7"/>
      <c r="B143" s="7"/>
      <c r="C143" s="29"/>
      <c r="D143" s="30"/>
      <c r="E143" s="30"/>
      <c r="F143" s="30"/>
      <c r="G143" s="30"/>
      <c r="H143" s="30"/>
      <c r="I143" s="7"/>
      <c r="J143" s="7"/>
      <c r="K143" s="7"/>
      <c r="L143" s="7"/>
      <c r="M143" s="7"/>
      <c r="N143" s="7"/>
      <c r="O143" s="7"/>
      <c r="P143" s="7"/>
      <c r="Q143" s="7"/>
      <c r="R143" s="7"/>
      <c r="S143" s="7"/>
      <c r="T143" s="7"/>
      <c r="U143" s="7"/>
      <c r="V143" s="7"/>
      <c r="W143" s="7"/>
      <c r="X143" s="7"/>
      <c r="Y143" s="7"/>
      <c r="Z143" s="7"/>
    </row>
    <row r="144" spans="1:26" ht="15.75" customHeight="1">
      <c r="A144" s="7"/>
      <c r="B144" s="7"/>
      <c r="C144" s="29"/>
      <c r="D144" s="30"/>
      <c r="E144" s="30"/>
      <c r="F144" s="30"/>
      <c r="G144" s="30"/>
      <c r="H144" s="30"/>
      <c r="I144" s="7"/>
      <c r="J144" s="7"/>
      <c r="K144" s="7"/>
      <c r="L144" s="7"/>
      <c r="M144" s="7"/>
      <c r="N144" s="7"/>
      <c r="O144" s="7"/>
      <c r="P144" s="7"/>
      <c r="Q144" s="7"/>
      <c r="R144" s="7"/>
      <c r="S144" s="7"/>
      <c r="T144" s="7"/>
      <c r="U144" s="7"/>
      <c r="V144" s="7"/>
      <c r="W144" s="7"/>
      <c r="X144" s="7"/>
      <c r="Y144" s="7"/>
      <c r="Z144" s="7"/>
    </row>
    <row r="145" spans="1:26" ht="15.75" customHeight="1">
      <c r="A145" s="7"/>
      <c r="B145" s="7"/>
      <c r="C145" s="29"/>
      <c r="D145" s="30"/>
      <c r="E145" s="30"/>
      <c r="F145" s="30"/>
      <c r="G145" s="30"/>
      <c r="H145" s="30"/>
      <c r="I145" s="7"/>
      <c r="J145" s="7"/>
      <c r="K145" s="7"/>
      <c r="L145" s="7"/>
      <c r="M145" s="7"/>
      <c r="N145" s="7"/>
      <c r="O145" s="7"/>
      <c r="P145" s="7"/>
      <c r="Q145" s="7"/>
      <c r="R145" s="7"/>
      <c r="S145" s="7"/>
      <c r="T145" s="7"/>
      <c r="U145" s="7"/>
      <c r="V145" s="7"/>
      <c r="W145" s="7"/>
      <c r="X145" s="7"/>
      <c r="Y145" s="7"/>
      <c r="Z145" s="7"/>
    </row>
    <row r="146" spans="1:26" ht="15.75" customHeight="1">
      <c r="A146" s="7"/>
      <c r="B146" s="7"/>
      <c r="C146" s="29"/>
      <c r="D146" s="30"/>
      <c r="E146" s="30"/>
      <c r="F146" s="30"/>
      <c r="G146" s="30"/>
      <c r="H146" s="30"/>
      <c r="I146" s="7"/>
      <c r="J146" s="7"/>
      <c r="K146" s="7"/>
      <c r="L146" s="7"/>
      <c r="M146" s="7"/>
      <c r="N146" s="7"/>
      <c r="O146" s="7"/>
      <c r="P146" s="7"/>
      <c r="Q146" s="7"/>
      <c r="R146" s="7"/>
      <c r="S146" s="7"/>
      <c r="T146" s="7"/>
      <c r="U146" s="7"/>
      <c r="V146" s="7"/>
      <c r="W146" s="7"/>
      <c r="X146" s="7"/>
      <c r="Y146" s="7"/>
      <c r="Z146" s="7"/>
    </row>
    <row r="147" spans="1:26" ht="15.75" customHeight="1">
      <c r="A147" s="7"/>
      <c r="B147" s="7"/>
      <c r="C147" s="29"/>
      <c r="D147" s="30"/>
      <c r="E147" s="30"/>
      <c r="F147" s="30"/>
      <c r="G147" s="30"/>
      <c r="H147" s="30"/>
      <c r="I147" s="7"/>
      <c r="J147" s="7"/>
      <c r="K147" s="7"/>
      <c r="L147" s="7"/>
      <c r="M147" s="7"/>
      <c r="N147" s="7"/>
      <c r="O147" s="7"/>
      <c r="P147" s="7"/>
      <c r="Q147" s="7"/>
      <c r="R147" s="7"/>
      <c r="S147" s="7"/>
      <c r="T147" s="7"/>
      <c r="U147" s="7"/>
      <c r="V147" s="7"/>
      <c r="W147" s="7"/>
      <c r="X147" s="7"/>
      <c r="Y147" s="7"/>
      <c r="Z147" s="7"/>
    </row>
    <row r="148" spans="1:26" ht="15.75" customHeight="1">
      <c r="A148" s="7"/>
      <c r="B148" s="7"/>
      <c r="C148" s="29"/>
      <c r="D148" s="30"/>
      <c r="E148" s="30"/>
      <c r="F148" s="30"/>
      <c r="G148" s="30"/>
      <c r="H148" s="30"/>
      <c r="I148" s="7"/>
      <c r="J148" s="7"/>
      <c r="K148" s="7"/>
      <c r="L148" s="7"/>
      <c r="M148" s="7"/>
      <c r="N148" s="7"/>
      <c r="O148" s="7"/>
      <c r="P148" s="7"/>
      <c r="Q148" s="7"/>
      <c r="R148" s="7"/>
      <c r="S148" s="7"/>
      <c r="T148" s="7"/>
      <c r="U148" s="7"/>
      <c r="V148" s="7"/>
      <c r="W148" s="7"/>
      <c r="X148" s="7"/>
      <c r="Y148" s="7"/>
      <c r="Z148" s="7"/>
    </row>
    <row r="149" spans="1:26" ht="15.75" customHeight="1">
      <c r="A149" s="7"/>
      <c r="B149" s="7"/>
      <c r="C149" s="29"/>
      <c r="D149" s="30"/>
      <c r="E149" s="30"/>
      <c r="F149" s="30"/>
      <c r="G149" s="30"/>
      <c r="H149" s="30"/>
      <c r="I149" s="7"/>
      <c r="J149" s="7"/>
      <c r="K149" s="7"/>
      <c r="L149" s="7"/>
      <c r="M149" s="7"/>
      <c r="N149" s="7"/>
      <c r="O149" s="7"/>
      <c r="P149" s="7"/>
      <c r="Q149" s="7"/>
      <c r="R149" s="7"/>
      <c r="S149" s="7"/>
      <c r="T149" s="7"/>
      <c r="U149" s="7"/>
      <c r="V149" s="7"/>
      <c r="W149" s="7"/>
      <c r="X149" s="7"/>
      <c r="Y149" s="7"/>
      <c r="Z149" s="7"/>
    </row>
    <row r="150" spans="1:26" ht="15.75" customHeight="1">
      <c r="A150" s="7"/>
      <c r="B150" s="7"/>
      <c r="C150" s="29"/>
      <c r="D150" s="30"/>
      <c r="E150" s="30"/>
      <c r="F150" s="30"/>
      <c r="G150" s="30"/>
      <c r="H150" s="30"/>
      <c r="I150" s="7"/>
      <c r="J150" s="7"/>
      <c r="K150" s="7"/>
      <c r="L150" s="7"/>
      <c r="M150" s="7"/>
      <c r="N150" s="7"/>
      <c r="O150" s="7"/>
      <c r="P150" s="7"/>
      <c r="Q150" s="7"/>
      <c r="R150" s="7"/>
      <c r="S150" s="7"/>
      <c r="T150" s="7"/>
      <c r="U150" s="7"/>
      <c r="V150" s="7"/>
      <c r="W150" s="7"/>
      <c r="X150" s="7"/>
      <c r="Y150" s="7"/>
      <c r="Z150" s="7"/>
    </row>
    <row r="151" spans="1:26" ht="15.75" customHeight="1">
      <c r="A151" s="7"/>
      <c r="B151" s="7"/>
      <c r="C151" s="29"/>
      <c r="D151" s="30"/>
      <c r="E151" s="30"/>
      <c r="F151" s="30"/>
      <c r="G151" s="30"/>
      <c r="H151" s="30"/>
      <c r="I151" s="7"/>
      <c r="J151" s="7"/>
      <c r="K151" s="7"/>
      <c r="L151" s="7"/>
      <c r="M151" s="7"/>
      <c r="N151" s="7"/>
      <c r="O151" s="7"/>
      <c r="P151" s="7"/>
      <c r="Q151" s="7"/>
      <c r="R151" s="7"/>
      <c r="S151" s="7"/>
      <c r="T151" s="7"/>
      <c r="U151" s="7"/>
      <c r="V151" s="7"/>
      <c r="W151" s="7"/>
      <c r="X151" s="7"/>
      <c r="Y151" s="7"/>
      <c r="Z151" s="7"/>
    </row>
    <row r="152" spans="1:26" ht="15.75" customHeight="1">
      <c r="A152" s="7"/>
      <c r="B152" s="7"/>
      <c r="C152" s="29"/>
      <c r="D152" s="30"/>
      <c r="E152" s="30"/>
      <c r="F152" s="30"/>
      <c r="G152" s="30"/>
      <c r="H152" s="30"/>
      <c r="I152" s="7"/>
      <c r="J152" s="7"/>
      <c r="K152" s="7"/>
      <c r="L152" s="7"/>
      <c r="M152" s="7"/>
      <c r="N152" s="7"/>
      <c r="O152" s="7"/>
      <c r="P152" s="7"/>
      <c r="Q152" s="7"/>
      <c r="R152" s="7"/>
      <c r="S152" s="7"/>
      <c r="T152" s="7"/>
      <c r="U152" s="7"/>
      <c r="V152" s="7"/>
      <c r="W152" s="7"/>
      <c r="X152" s="7"/>
      <c r="Y152" s="7"/>
      <c r="Z152" s="7"/>
    </row>
    <row r="153" spans="1:26" ht="15.75" customHeight="1">
      <c r="A153" s="7"/>
      <c r="B153" s="7"/>
      <c r="C153" s="29"/>
      <c r="D153" s="30"/>
      <c r="E153" s="30"/>
      <c r="F153" s="30"/>
      <c r="G153" s="30"/>
      <c r="H153" s="30"/>
      <c r="I153" s="7"/>
      <c r="J153" s="7"/>
      <c r="K153" s="7"/>
      <c r="L153" s="7"/>
      <c r="M153" s="7"/>
      <c r="N153" s="7"/>
      <c r="O153" s="7"/>
      <c r="P153" s="7"/>
      <c r="Q153" s="7"/>
      <c r="R153" s="7"/>
      <c r="S153" s="7"/>
      <c r="T153" s="7"/>
      <c r="U153" s="7"/>
      <c r="V153" s="7"/>
      <c r="W153" s="7"/>
      <c r="X153" s="7"/>
      <c r="Y153" s="7"/>
      <c r="Z153" s="7"/>
    </row>
    <row r="154" spans="1:26" ht="15.75" customHeight="1">
      <c r="A154" s="7"/>
      <c r="B154" s="7"/>
      <c r="C154" s="29"/>
      <c r="D154" s="30"/>
      <c r="E154" s="30"/>
      <c r="F154" s="30"/>
      <c r="G154" s="30"/>
      <c r="H154" s="30"/>
      <c r="I154" s="7"/>
      <c r="J154" s="7"/>
      <c r="K154" s="7"/>
      <c r="L154" s="7"/>
      <c r="M154" s="7"/>
      <c r="N154" s="7"/>
      <c r="O154" s="7"/>
      <c r="P154" s="7"/>
      <c r="Q154" s="7"/>
      <c r="R154" s="7"/>
      <c r="S154" s="7"/>
      <c r="T154" s="7"/>
      <c r="U154" s="7"/>
      <c r="V154" s="7"/>
      <c r="W154" s="7"/>
      <c r="X154" s="7"/>
      <c r="Y154" s="7"/>
      <c r="Z154" s="7"/>
    </row>
    <row r="155" spans="1:26" ht="15.75" customHeight="1">
      <c r="A155" s="7"/>
      <c r="B155" s="7"/>
      <c r="C155" s="29"/>
      <c r="D155" s="30"/>
      <c r="E155" s="30"/>
      <c r="F155" s="30"/>
      <c r="G155" s="30"/>
      <c r="H155" s="30"/>
      <c r="I155" s="7"/>
      <c r="J155" s="7"/>
      <c r="K155" s="7"/>
      <c r="L155" s="7"/>
      <c r="M155" s="7"/>
      <c r="N155" s="7"/>
      <c r="O155" s="7"/>
      <c r="P155" s="7"/>
      <c r="Q155" s="7"/>
      <c r="R155" s="7"/>
      <c r="S155" s="7"/>
      <c r="T155" s="7"/>
      <c r="U155" s="7"/>
      <c r="V155" s="7"/>
      <c r="W155" s="7"/>
      <c r="X155" s="7"/>
      <c r="Y155" s="7"/>
      <c r="Z155" s="7"/>
    </row>
    <row r="156" spans="1:26" ht="15.75" customHeight="1">
      <c r="A156" s="7"/>
      <c r="B156" s="7"/>
      <c r="C156" s="29"/>
      <c r="D156" s="30"/>
      <c r="E156" s="30"/>
      <c r="F156" s="30"/>
      <c r="G156" s="30"/>
      <c r="H156" s="30"/>
      <c r="I156" s="7"/>
      <c r="J156" s="7"/>
      <c r="K156" s="7"/>
      <c r="L156" s="7"/>
      <c r="M156" s="7"/>
      <c r="N156" s="7"/>
      <c r="O156" s="7"/>
      <c r="P156" s="7"/>
      <c r="Q156" s="7"/>
      <c r="R156" s="7"/>
      <c r="S156" s="7"/>
      <c r="T156" s="7"/>
      <c r="U156" s="7"/>
      <c r="V156" s="7"/>
      <c r="W156" s="7"/>
      <c r="X156" s="7"/>
      <c r="Y156" s="7"/>
      <c r="Z156" s="7"/>
    </row>
    <row r="157" spans="1:26" ht="15.75" customHeight="1">
      <c r="A157" s="7"/>
      <c r="B157" s="7"/>
      <c r="C157" s="29"/>
      <c r="D157" s="30"/>
      <c r="E157" s="30"/>
      <c r="F157" s="30"/>
      <c r="G157" s="30"/>
      <c r="H157" s="30"/>
      <c r="I157" s="7"/>
      <c r="J157" s="7"/>
      <c r="K157" s="7"/>
      <c r="L157" s="7"/>
      <c r="M157" s="7"/>
      <c r="N157" s="7"/>
      <c r="O157" s="7"/>
      <c r="P157" s="7"/>
      <c r="Q157" s="7"/>
      <c r="R157" s="7"/>
      <c r="S157" s="7"/>
      <c r="T157" s="7"/>
      <c r="U157" s="7"/>
      <c r="V157" s="7"/>
      <c r="W157" s="7"/>
      <c r="X157" s="7"/>
      <c r="Y157" s="7"/>
      <c r="Z157" s="7"/>
    </row>
    <row r="158" spans="1:26" ht="15.75" customHeight="1">
      <c r="A158" s="7"/>
      <c r="B158" s="7"/>
      <c r="C158" s="29"/>
      <c r="D158" s="30"/>
      <c r="E158" s="30"/>
      <c r="F158" s="30"/>
      <c r="G158" s="30"/>
      <c r="H158" s="30"/>
      <c r="I158" s="7"/>
      <c r="J158" s="7"/>
      <c r="K158" s="7"/>
      <c r="L158" s="7"/>
      <c r="M158" s="7"/>
      <c r="N158" s="7"/>
      <c r="O158" s="7"/>
      <c r="P158" s="7"/>
      <c r="Q158" s="7"/>
      <c r="R158" s="7"/>
      <c r="S158" s="7"/>
      <c r="T158" s="7"/>
      <c r="U158" s="7"/>
      <c r="V158" s="7"/>
      <c r="W158" s="7"/>
      <c r="X158" s="7"/>
      <c r="Y158" s="7"/>
      <c r="Z158" s="7"/>
    </row>
    <row r="159" spans="1:26" ht="15.75" customHeight="1">
      <c r="A159" s="7"/>
      <c r="B159" s="7"/>
      <c r="C159" s="29"/>
      <c r="D159" s="30"/>
      <c r="E159" s="30"/>
      <c r="F159" s="30"/>
      <c r="G159" s="30"/>
      <c r="H159" s="30"/>
      <c r="I159" s="7"/>
      <c r="J159" s="7"/>
      <c r="K159" s="7"/>
      <c r="L159" s="7"/>
      <c r="M159" s="7"/>
      <c r="N159" s="7"/>
      <c r="O159" s="7"/>
      <c r="P159" s="7"/>
      <c r="Q159" s="7"/>
      <c r="R159" s="7"/>
      <c r="S159" s="7"/>
      <c r="T159" s="7"/>
      <c r="U159" s="7"/>
      <c r="V159" s="7"/>
      <c r="W159" s="7"/>
      <c r="X159" s="7"/>
      <c r="Y159" s="7"/>
      <c r="Z159" s="7"/>
    </row>
    <row r="160" spans="1:26" ht="15.75" customHeight="1">
      <c r="A160" s="7"/>
      <c r="B160" s="7"/>
      <c r="C160" s="29"/>
      <c r="D160" s="30"/>
      <c r="E160" s="30"/>
      <c r="F160" s="30"/>
      <c r="G160" s="30"/>
      <c r="H160" s="30"/>
      <c r="I160" s="7"/>
      <c r="J160" s="7"/>
      <c r="K160" s="7"/>
      <c r="L160" s="7"/>
      <c r="M160" s="7"/>
      <c r="N160" s="7"/>
      <c r="O160" s="7"/>
      <c r="P160" s="7"/>
      <c r="Q160" s="7"/>
      <c r="R160" s="7"/>
      <c r="S160" s="7"/>
      <c r="T160" s="7"/>
      <c r="U160" s="7"/>
      <c r="V160" s="7"/>
      <c r="W160" s="7"/>
      <c r="X160" s="7"/>
      <c r="Y160" s="7"/>
      <c r="Z160" s="7"/>
    </row>
    <row r="161" spans="1:26" ht="15.75" customHeight="1">
      <c r="A161" s="7"/>
      <c r="B161" s="7"/>
      <c r="C161" s="29"/>
      <c r="D161" s="30"/>
      <c r="E161" s="30"/>
      <c r="F161" s="30"/>
      <c r="G161" s="30"/>
      <c r="H161" s="30"/>
      <c r="I161" s="7"/>
      <c r="J161" s="7"/>
      <c r="K161" s="7"/>
      <c r="L161" s="7"/>
      <c r="M161" s="7"/>
      <c r="N161" s="7"/>
      <c r="O161" s="7"/>
      <c r="P161" s="7"/>
      <c r="Q161" s="7"/>
      <c r="R161" s="7"/>
      <c r="S161" s="7"/>
      <c r="T161" s="7"/>
      <c r="U161" s="7"/>
      <c r="V161" s="7"/>
      <c r="W161" s="7"/>
      <c r="X161" s="7"/>
      <c r="Y161" s="7"/>
      <c r="Z161" s="7"/>
    </row>
    <row r="162" spans="1:26" ht="15.75" customHeight="1">
      <c r="A162" s="7"/>
      <c r="B162" s="7"/>
      <c r="C162" s="29"/>
      <c r="D162" s="30"/>
      <c r="E162" s="30"/>
      <c r="F162" s="30"/>
      <c r="G162" s="30"/>
      <c r="H162" s="30"/>
      <c r="I162" s="7"/>
      <c r="J162" s="7"/>
      <c r="K162" s="7"/>
      <c r="L162" s="7"/>
      <c r="M162" s="7"/>
      <c r="N162" s="7"/>
      <c r="O162" s="7"/>
      <c r="P162" s="7"/>
      <c r="Q162" s="7"/>
      <c r="R162" s="7"/>
      <c r="S162" s="7"/>
      <c r="T162" s="7"/>
      <c r="U162" s="7"/>
      <c r="V162" s="7"/>
      <c r="W162" s="7"/>
      <c r="X162" s="7"/>
      <c r="Y162" s="7"/>
      <c r="Z162" s="7"/>
    </row>
    <row r="163" spans="1:26" ht="15.75" customHeight="1">
      <c r="A163" s="7"/>
      <c r="B163" s="7"/>
      <c r="C163" s="29"/>
      <c r="D163" s="30"/>
      <c r="E163" s="30"/>
      <c r="F163" s="30"/>
      <c r="G163" s="30"/>
      <c r="H163" s="30"/>
      <c r="I163" s="7"/>
      <c r="J163" s="7"/>
      <c r="K163" s="7"/>
      <c r="L163" s="7"/>
      <c r="M163" s="7"/>
      <c r="N163" s="7"/>
      <c r="O163" s="7"/>
      <c r="P163" s="7"/>
      <c r="Q163" s="7"/>
      <c r="R163" s="7"/>
      <c r="S163" s="7"/>
      <c r="T163" s="7"/>
      <c r="U163" s="7"/>
      <c r="V163" s="7"/>
      <c r="W163" s="7"/>
      <c r="X163" s="7"/>
      <c r="Y163" s="7"/>
      <c r="Z163" s="7"/>
    </row>
    <row r="164" spans="1:26" ht="15.75" customHeight="1">
      <c r="A164" s="7"/>
      <c r="B164" s="7"/>
      <c r="C164" s="29"/>
      <c r="D164" s="30"/>
      <c r="E164" s="30"/>
      <c r="F164" s="30"/>
      <c r="G164" s="30"/>
      <c r="H164" s="30"/>
      <c r="I164" s="7"/>
      <c r="J164" s="7"/>
      <c r="K164" s="7"/>
      <c r="L164" s="7"/>
      <c r="M164" s="7"/>
      <c r="N164" s="7"/>
      <c r="O164" s="7"/>
      <c r="P164" s="7"/>
      <c r="Q164" s="7"/>
      <c r="R164" s="7"/>
      <c r="S164" s="7"/>
      <c r="T164" s="7"/>
      <c r="U164" s="7"/>
      <c r="V164" s="7"/>
      <c r="W164" s="7"/>
      <c r="X164" s="7"/>
      <c r="Y164" s="7"/>
      <c r="Z164" s="7"/>
    </row>
    <row r="165" spans="1:26" ht="15.75" customHeight="1">
      <c r="A165" s="7"/>
      <c r="B165" s="7"/>
      <c r="C165" s="29"/>
      <c r="D165" s="30"/>
      <c r="E165" s="30"/>
      <c r="F165" s="30"/>
      <c r="G165" s="30"/>
      <c r="H165" s="30"/>
      <c r="I165" s="7"/>
      <c r="J165" s="7"/>
      <c r="K165" s="7"/>
      <c r="L165" s="7"/>
      <c r="M165" s="7"/>
      <c r="N165" s="7"/>
      <c r="O165" s="7"/>
      <c r="P165" s="7"/>
      <c r="Q165" s="7"/>
      <c r="R165" s="7"/>
      <c r="S165" s="7"/>
      <c r="T165" s="7"/>
      <c r="U165" s="7"/>
      <c r="V165" s="7"/>
      <c r="W165" s="7"/>
      <c r="X165" s="7"/>
      <c r="Y165" s="7"/>
      <c r="Z165" s="7"/>
    </row>
    <row r="166" spans="1:26" ht="15.75" customHeight="1">
      <c r="A166" s="7"/>
      <c r="B166" s="7"/>
      <c r="C166" s="29"/>
      <c r="D166" s="30"/>
      <c r="E166" s="30"/>
      <c r="F166" s="30"/>
      <c r="G166" s="30"/>
      <c r="H166" s="30"/>
      <c r="I166" s="7"/>
      <c r="J166" s="7"/>
      <c r="K166" s="7"/>
      <c r="L166" s="7"/>
      <c r="M166" s="7"/>
      <c r="N166" s="7"/>
      <c r="O166" s="7"/>
      <c r="P166" s="7"/>
      <c r="Q166" s="7"/>
      <c r="R166" s="7"/>
      <c r="S166" s="7"/>
      <c r="T166" s="7"/>
      <c r="U166" s="7"/>
      <c r="V166" s="7"/>
      <c r="W166" s="7"/>
      <c r="X166" s="7"/>
      <c r="Y166" s="7"/>
      <c r="Z166" s="7"/>
    </row>
    <row r="167" spans="1:26" ht="15.75" customHeight="1">
      <c r="A167" s="7"/>
      <c r="B167" s="7"/>
      <c r="C167" s="29"/>
      <c r="D167" s="30"/>
      <c r="E167" s="30"/>
      <c r="F167" s="30"/>
      <c r="G167" s="30"/>
      <c r="H167" s="30"/>
      <c r="I167" s="7"/>
      <c r="J167" s="7"/>
      <c r="K167" s="7"/>
      <c r="L167" s="7"/>
      <c r="M167" s="7"/>
      <c r="N167" s="7"/>
      <c r="O167" s="7"/>
      <c r="P167" s="7"/>
      <c r="Q167" s="7"/>
      <c r="R167" s="7"/>
      <c r="S167" s="7"/>
      <c r="T167" s="7"/>
      <c r="U167" s="7"/>
      <c r="V167" s="7"/>
      <c r="W167" s="7"/>
      <c r="X167" s="7"/>
      <c r="Y167" s="7"/>
      <c r="Z167" s="7"/>
    </row>
    <row r="168" spans="1:26" ht="15.75" customHeight="1">
      <c r="A168" s="7"/>
      <c r="B168" s="7"/>
      <c r="C168" s="29"/>
      <c r="D168" s="30"/>
      <c r="E168" s="30"/>
      <c r="F168" s="30"/>
      <c r="G168" s="30"/>
      <c r="H168" s="30"/>
      <c r="I168" s="7"/>
      <c r="J168" s="7"/>
      <c r="K168" s="7"/>
      <c r="L168" s="7"/>
      <c r="M168" s="7"/>
      <c r="N168" s="7"/>
      <c r="O168" s="7"/>
      <c r="P168" s="7"/>
      <c r="Q168" s="7"/>
      <c r="R168" s="7"/>
      <c r="S168" s="7"/>
      <c r="T168" s="7"/>
      <c r="U168" s="7"/>
      <c r="V168" s="7"/>
      <c r="W168" s="7"/>
      <c r="X168" s="7"/>
      <c r="Y168" s="7"/>
      <c r="Z168" s="7"/>
    </row>
    <row r="169" spans="1:26" ht="15.75" customHeight="1">
      <c r="A169" s="7"/>
      <c r="B169" s="7"/>
      <c r="C169" s="29"/>
      <c r="D169" s="30"/>
      <c r="E169" s="30"/>
      <c r="F169" s="30"/>
      <c r="G169" s="30"/>
      <c r="H169" s="30"/>
      <c r="I169" s="7"/>
      <c r="J169" s="7"/>
      <c r="K169" s="7"/>
      <c r="L169" s="7"/>
      <c r="M169" s="7"/>
      <c r="N169" s="7"/>
      <c r="O169" s="7"/>
      <c r="P169" s="7"/>
      <c r="Q169" s="7"/>
      <c r="R169" s="7"/>
      <c r="S169" s="7"/>
      <c r="T169" s="7"/>
      <c r="U169" s="7"/>
      <c r="V169" s="7"/>
      <c r="W169" s="7"/>
      <c r="X169" s="7"/>
      <c r="Y169" s="7"/>
      <c r="Z169" s="7"/>
    </row>
    <row r="170" spans="1:26" ht="15.75" customHeight="1">
      <c r="A170" s="7"/>
      <c r="B170" s="7"/>
      <c r="C170" s="29"/>
      <c r="D170" s="30"/>
      <c r="E170" s="30"/>
      <c r="F170" s="30"/>
      <c r="G170" s="30"/>
      <c r="H170" s="30"/>
      <c r="I170" s="7"/>
      <c r="J170" s="7"/>
      <c r="K170" s="7"/>
      <c r="L170" s="7"/>
      <c r="M170" s="7"/>
      <c r="N170" s="7"/>
      <c r="O170" s="7"/>
      <c r="P170" s="7"/>
      <c r="Q170" s="7"/>
      <c r="R170" s="7"/>
      <c r="S170" s="7"/>
      <c r="T170" s="7"/>
      <c r="U170" s="7"/>
      <c r="V170" s="7"/>
      <c r="W170" s="7"/>
      <c r="X170" s="7"/>
      <c r="Y170" s="7"/>
      <c r="Z170" s="7"/>
    </row>
    <row r="171" spans="1:26" ht="15.75" customHeight="1">
      <c r="A171" s="7"/>
      <c r="B171" s="7"/>
      <c r="C171" s="29"/>
      <c r="D171" s="30"/>
      <c r="E171" s="30"/>
      <c r="F171" s="30"/>
      <c r="G171" s="30"/>
      <c r="H171" s="30"/>
      <c r="I171" s="7"/>
      <c r="J171" s="7"/>
      <c r="K171" s="7"/>
      <c r="L171" s="7"/>
      <c r="M171" s="7"/>
      <c r="N171" s="7"/>
      <c r="O171" s="7"/>
      <c r="P171" s="7"/>
      <c r="Q171" s="7"/>
      <c r="R171" s="7"/>
      <c r="S171" s="7"/>
      <c r="T171" s="7"/>
      <c r="U171" s="7"/>
      <c r="V171" s="7"/>
      <c r="W171" s="7"/>
      <c r="X171" s="7"/>
      <c r="Y171" s="7"/>
      <c r="Z171" s="7"/>
    </row>
    <row r="172" spans="1:26" ht="15.75" customHeight="1">
      <c r="A172" s="7"/>
      <c r="B172" s="7"/>
      <c r="C172" s="29"/>
      <c r="D172" s="30"/>
      <c r="E172" s="30"/>
      <c r="F172" s="30"/>
      <c r="G172" s="30"/>
      <c r="H172" s="30"/>
      <c r="I172" s="7"/>
      <c r="J172" s="7"/>
      <c r="K172" s="7"/>
      <c r="L172" s="7"/>
      <c r="M172" s="7"/>
      <c r="N172" s="7"/>
      <c r="O172" s="7"/>
      <c r="P172" s="7"/>
      <c r="Q172" s="7"/>
      <c r="R172" s="7"/>
      <c r="S172" s="7"/>
      <c r="T172" s="7"/>
      <c r="U172" s="7"/>
      <c r="V172" s="7"/>
      <c r="W172" s="7"/>
      <c r="X172" s="7"/>
      <c r="Y172" s="7"/>
      <c r="Z172" s="7"/>
    </row>
    <row r="173" spans="1:26" ht="15.75" customHeight="1">
      <c r="A173" s="7"/>
      <c r="B173" s="7"/>
      <c r="C173" s="29"/>
      <c r="D173" s="30"/>
      <c r="E173" s="30"/>
      <c r="F173" s="30"/>
      <c r="G173" s="30"/>
      <c r="H173" s="30"/>
      <c r="I173" s="7"/>
      <c r="J173" s="7"/>
      <c r="K173" s="7"/>
      <c r="L173" s="7"/>
      <c r="M173" s="7"/>
      <c r="N173" s="7"/>
      <c r="O173" s="7"/>
      <c r="P173" s="7"/>
      <c r="Q173" s="7"/>
      <c r="R173" s="7"/>
      <c r="S173" s="7"/>
      <c r="T173" s="7"/>
      <c r="U173" s="7"/>
      <c r="V173" s="7"/>
      <c r="W173" s="7"/>
      <c r="X173" s="7"/>
      <c r="Y173" s="7"/>
      <c r="Z173" s="7"/>
    </row>
    <row r="174" spans="1:26" ht="15.75" customHeight="1">
      <c r="A174" s="7"/>
      <c r="B174" s="7"/>
      <c r="C174" s="29"/>
      <c r="D174" s="30"/>
      <c r="E174" s="30"/>
      <c r="F174" s="30"/>
      <c r="G174" s="30"/>
      <c r="H174" s="30"/>
      <c r="I174" s="7"/>
      <c r="J174" s="7"/>
      <c r="K174" s="7"/>
      <c r="L174" s="7"/>
      <c r="M174" s="7"/>
      <c r="N174" s="7"/>
      <c r="O174" s="7"/>
      <c r="P174" s="7"/>
      <c r="Q174" s="7"/>
      <c r="R174" s="7"/>
      <c r="S174" s="7"/>
      <c r="T174" s="7"/>
      <c r="U174" s="7"/>
      <c r="V174" s="7"/>
      <c r="W174" s="7"/>
      <c r="X174" s="7"/>
      <c r="Y174" s="7"/>
      <c r="Z174" s="7"/>
    </row>
    <row r="175" spans="1:26" ht="15.75" customHeight="1">
      <c r="A175" s="7"/>
      <c r="B175" s="7"/>
      <c r="C175" s="29"/>
      <c r="D175" s="30"/>
      <c r="E175" s="30"/>
      <c r="F175" s="30"/>
      <c r="G175" s="30"/>
      <c r="H175" s="30"/>
      <c r="I175" s="7"/>
      <c r="J175" s="7"/>
      <c r="K175" s="7"/>
      <c r="L175" s="7"/>
      <c r="M175" s="7"/>
      <c r="N175" s="7"/>
      <c r="O175" s="7"/>
      <c r="P175" s="7"/>
      <c r="Q175" s="7"/>
      <c r="R175" s="7"/>
      <c r="S175" s="7"/>
      <c r="T175" s="7"/>
      <c r="U175" s="7"/>
      <c r="V175" s="7"/>
      <c r="W175" s="7"/>
      <c r="X175" s="7"/>
      <c r="Y175" s="7"/>
      <c r="Z175" s="7"/>
    </row>
    <row r="176" spans="1:26" ht="15.75" customHeight="1">
      <c r="A176" s="7"/>
      <c r="B176" s="7"/>
      <c r="C176" s="29"/>
      <c r="D176" s="30"/>
      <c r="E176" s="30"/>
      <c r="F176" s="30"/>
      <c r="G176" s="30"/>
      <c r="H176" s="30"/>
      <c r="I176" s="7"/>
      <c r="J176" s="7"/>
      <c r="K176" s="7"/>
      <c r="L176" s="7"/>
      <c r="M176" s="7"/>
      <c r="N176" s="7"/>
      <c r="O176" s="7"/>
      <c r="P176" s="7"/>
      <c r="Q176" s="7"/>
      <c r="R176" s="7"/>
      <c r="S176" s="7"/>
      <c r="T176" s="7"/>
      <c r="U176" s="7"/>
      <c r="V176" s="7"/>
      <c r="W176" s="7"/>
      <c r="X176" s="7"/>
      <c r="Y176" s="7"/>
      <c r="Z176" s="7"/>
    </row>
    <row r="177" spans="1:26" ht="15.75" customHeight="1">
      <c r="A177" s="7"/>
      <c r="B177" s="7"/>
      <c r="C177" s="29"/>
      <c r="D177" s="30"/>
      <c r="E177" s="30"/>
      <c r="F177" s="30"/>
      <c r="G177" s="30"/>
      <c r="H177" s="30"/>
      <c r="I177" s="7"/>
      <c r="J177" s="7"/>
      <c r="K177" s="7"/>
      <c r="L177" s="7"/>
      <c r="M177" s="7"/>
      <c r="N177" s="7"/>
      <c r="O177" s="7"/>
      <c r="P177" s="7"/>
      <c r="Q177" s="7"/>
      <c r="R177" s="7"/>
      <c r="S177" s="7"/>
      <c r="T177" s="7"/>
      <c r="U177" s="7"/>
      <c r="V177" s="7"/>
      <c r="W177" s="7"/>
      <c r="X177" s="7"/>
      <c r="Y177" s="7"/>
      <c r="Z177" s="7"/>
    </row>
    <row r="178" spans="1:26" ht="15.75" customHeight="1">
      <c r="A178" s="7"/>
      <c r="B178" s="7"/>
      <c r="C178" s="29"/>
      <c r="D178" s="30"/>
      <c r="E178" s="30"/>
      <c r="F178" s="30"/>
      <c r="G178" s="30"/>
      <c r="H178" s="30"/>
      <c r="I178" s="7"/>
      <c r="J178" s="7"/>
      <c r="K178" s="7"/>
      <c r="L178" s="7"/>
      <c r="M178" s="7"/>
      <c r="N178" s="7"/>
      <c r="O178" s="7"/>
      <c r="P178" s="7"/>
      <c r="Q178" s="7"/>
      <c r="R178" s="7"/>
      <c r="S178" s="7"/>
      <c r="T178" s="7"/>
      <c r="U178" s="7"/>
      <c r="V178" s="7"/>
      <c r="W178" s="7"/>
      <c r="X178" s="7"/>
      <c r="Y178" s="7"/>
      <c r="Z178" s="7"/>
    </row>
    <row r="179" spans="1:26" ht="15.75" customHeight="1">
      <c r="A179" s="7"/>
      <c r="B179" s="7"/>
      <c r="C179" s="29"/>
      <c r="D179" s="30"/>
      <c r="E179" s="30"/>
      <c r="F179" s="30"/>
      <c r="G179" s="30"/>
      <c r="H179" s="30"/>
      <c r="I179" s="7"/>
      <c r="J179" s="7"/>
      <c r="K179" s="7"/>
      <c r="L179" s="7"/>
      <c r="M179" s="7"/>
      <c r="N179" s="7"/>
      <c r="O179" s="7"/>
      <c r="P179" s="7"/>
      <c r="Q179" s="7"/>
      <c r="R179" s="7"/>
      <c r="S179" s="7"/>
      <c r="T179" s="7"/>
      <c r="U179" s="7"/>
      <c r="V179" s="7"/>
      <c r="W179" s="7"/>
      <c r="X179" s="7"/>
      <c r="Y179" s="7"/>
      <c r="Z179" s="7"/>
    </row>
    <row r="180" spans="1:26" ht="15.75" customHeight="1">
      <c r="A180" s="7"/>
      <c r="B180" s="7"/>
      <c r="C180" s="29"/>
      <c r="D180" s="30"/>
      <c r="E180" s="30"/>
      <c r="F180" s="30"/>
      <c r="G180" s="30"/>
      <c r="H180" s="30"/>
      <c r="I180" s="7"/>
      <c r="J180" s="7"/>
      <c r="K180" s="7"/>
      <c r="L180" s="7"/>
      <c r="M180" s="7"/>
      <c r="N180" s="7"/>
      <c r="O180" s="7"/>
      <c r="P180" s="7"/>
      <c r="Q180" s="7"/>
      <c r="R180" s="7"/>
      <c r="S180" s="7"/>
      <c r="T180" s="7"/>
      <c r="U180" s="7"/>
      <c r="V180" s="7"/>
      <c r="W180" s="7"/>
      <c r="X180" s="7"/>
      <c r="Y180" s="7"/>
      <c r="Z180" s="7"/>
    </row>
    <row r="181" spans="1:26" ht="15.75" customHeight="1">
      <c r="A181" s="7"/>
      <c r="B181" s="7"/>
      <c r="C181" s="29"/>
      <c r="D181" s="30"/>
      <c r="E181" s="30"/>
      <c r="F181" s="30"/>
      <c r="G181" s="30"/>
      <c r="H181" s="30"/>
      <c r="I181" s="7"/>
      <c r="J181" s="7"/>
      <c r="K181" s="7"/>
      <c r="L181" s="7"/>
      <c r="M181" s="7"/>
      <c r="N181" s="7"/>
      <c r="O181" s="7"/>
      <c r="P181" s="7"/>
      <c r="Q181" s="7"/>
      <c r="R181" s="7"/>
      <c r="S181" s="7"/>
      <c r="T181" s="7"/>
      <c r="U181" s="7"/>
      <c r="V181" s="7"/>
      <c r="W181" s="7"/>
      <c r="X181" s="7"/>
      <c r="Y181" s="7"/>
      <c r="Z181" s="7"/>
    </row>
    <row r="182" spans="1:26" ht="15.75" customHeight="1">
      <c r="A182" s="7"/>
      <c r="B182" s="7"/>
      <c r="C182" s="29"/>
      <c r="D182" s="30"/>
      <c r="E182" s="30"/>
      <c r="F182" s="30"/>
      <c r="G182" s="30"/>
      <c r="H182" s="30"/>
      <c r="I182" s="7"/>
      <c r="J182" s="7"/>
      <c r="K182" s="7"/>
      <c r="L182" s="7"/>
      <c r="M182" s="7"/>
      <c r="N182" s="7"/>
      <c r="O182" s="7"/>
      <c r="P182" s="7"/>
      <c r="Q182" s="7"/>
      <c r="R182" s="7"/>
      <c r="S182" s="7"/>
      <c r="T182" s="7"/>
      <c r="U182" s="7"/>
      <c r="V182" s="7"/>
      <c r="W182" s="7"/>
      <c r="X182" s="7"/>
      <c r="Y182" s="7"/>
      <c r="Z182" s="7"/>
    </row>
    <row r="183" spans="1:26" ht="15.75" customHeight="1">
      <c r="A183" s="7"/>
      <c r="B183" s="7"/>
      <c r="C183" s="29"/>
      <c r="D183" s="30"/>
      <c r="E183" s="30"/>
      <c r="F183" s="30"/>
      <c r="G183" s="30"/>
      <c r="H183" s="30"/>
      <c r="I183" s="7"/>
      <c r="J183" s="7"/>
      <c r="K183" s="7"/>
      <c r="L183" s="7"/>
      <c r="M183" s="7"/>
      <c r="N183" s="7"/>
      <c r="O183" s="7"/>
      <c r="P183" s="7"/>
      <c r="Q183" s="7"/>
      <c r="R183" s="7"/>
      <c r="S183" s="7"/>
      <c r="T183" s="7"/>
      <c r="U183" s="7"/>
      <c r="V183" s="7"/>
      <c r="W183" s="7"/>
      <c r="X183" s="7"/>
      <c r="Y183" s="7"/>
      <c r="Z183" s="7"/>
    </row>
    <row r="184" spans="1:26" ht="15.75" customHeight="1">
      <c r="A184" s="7"/>
      <c r="B184" s="7"/>
      <c r="C184" s="29"/>
      <c r="D184" s="30"/>
      <c r="E184" s="30"/>
      <c r="F184" s="30"/>
      <c r="G184" s="30"/>
      <c r="H184" s="30"/>
      <c r="I184" s="7"/>
      <c r="J184" s="7"/>
      <c r="K184" s="7"/>
      <c r="L184" s="7"/>
      <c r="M184" s="7"/>
      <c r="N184" s="7"/>
      <c r="O184" s="7"/>
      <c r="P184" s="7"/>
      <c r="Q184" s="7"/>
      <c r="R184" s="7"/>
      <c r="S184" s="7"/>
      <c r="T184" s="7"/>
      <c r="U184" s="7"/>
      <c r="V184" s="7"/>
      <c r="W184" s="7"/>
      <c r="X184" s="7"/>
      <c r="Y184" s="7"/>
      <c r="Z184" s="7"/>
    </row>
    <row r="185" spans="1:26" ht="15.75" customHeight="1">
      <c r="A185" s="7"/>
      <c r="B185" s="7"/>
      <c r="C185" s="29"/>
      <c r="D185" s="30"/>
      <c r="E185" s="30"/>
      <c r="F185" s="30"/>
      <c r="G185" s="30"/>
      <c r="H185" s="30"/>
      <c r="I185" s="7"/>
      <c r="J185" s="7"/>
      <c r="K185" s="7"/>
      <c r="L185" s="7"/>
      <c r="M185" s="7"/>
      <c r="N185" s="7"/>
      <c r="O185" s="7"/>
      <c r="P185" s="7"/>
      <c r="Q185" s="7"/>
      <c r="R185" s="7"/>
      <c r="S185" s="7"/>
      <c r="T185" s="7"/>
      <c r="U185" s="7"/>
      <c r="V185" s="7"/>
      <c r="W185" s="7"/>
      <c r="X185" s="7"/>
      <c r="Y185" s="7"/>
      <c r="Z185" s="7"/>
    </row>
    <row r="186" spans="1:26" ht="15.75" customHeight="1">
      <c r="A186" s="7"/>
      <c r="B186" s="7"/>
      <c r="C186" s="29"/>
      <c r="D186" s="30"/>
      <c r="E186" s="30"/>
      <c r="F186" s="30"/>
      <c r="G186" s="30"/>
      <c r="H186" s="30"/>
      <c r="I186" s="7"/>
      <c r="J186" s="7"/>
      <c r="K186" s="7"/>
      <c r="L186" s="7"/>
      <c r="M186" s="7"/>
      <c r="N186" s="7"/>
      <c r="O186" s="7"/>
      <c r="P186" s="7"/>
      <c r="Q186" s="7"/>
      <c r="R186" s="7"/>
      <c r="S186" s="7"/>
      <c r="T186" s="7"/>
      <c r="U186" s="7"/>
      <c r="V186" s="7"/>
      <c r="W186" s="7"/>
      <c r="X186" s="7"/>
      <c r="Y186" s="7"/>
      <c r="Z186" s="7"/>
    </row>
    <row r="187" spans="1:26" ht="15.75" customHeight="1">
      <c r="A187" s="7"/>
      <c r="B187" s="7"/>
      <c r="C187" s="29"/>
      <c r="D187" s="30"/>
      <c r="E187" s="30"/>
      <c r="F187" s="30"/>
      <c r="G187" s="30"/>
      <c r="H187" s="30"/>
      <c r="I187" s="7"/>
      <c r="J187" s="7"/>
      <c r="K187" s="7"/>
      <c r="L187" s="7"/>
      <c r="M187" s="7"/>
      <c r="N187" s="7"/>
      <c r="O187" s="7"/>
      <c r="P187" s="7"/>
      <c r="Q187" s="7"/>
      <c r="R187" s="7"/>
      <c r="S187" s="7"/>
      <c r="T187" s="7"/>
      <c r="U187" s="7"/>
      <c r="V187" s="7"/>
      <c r="W187" s="7"/>
      <c r="X187" s="7"/>
      <c r="Y187" s="7"/>
      <c r="Z187" s="7"/>
    </row>
    <row r="188" spans="1:26" ht="15.75" customHeight="1">
      <c r="A188" s="7"/>
      <c r="B188" s="7"/>
      <c r="C188" s="29"/>
      <c r="D188" s="30"/>
      <c r="E188" s="30"/>
      <c r="F188" s="30"/>
      <c r="G188" s="30"/>
      <c r="H188" s="30"/>
      <c r="I188" s="7"/>
      <c r="J188" s="7"/>
      <c r="K188" s="7"/>
      <c r="L188" s="7"/>
      <c r="M188" s="7"/>
      <c r="N188" s="7"/>
      <c r="O188" s="7"/>
      <c r="P188" s="7"/>
      <c r="Q188" s="7"/>
      <c r="R188" s="7"/>
      <c r="S188" s="7"/>
      <c r="T188" s="7"/>
      <c r="U188" s="7"/>
      <c r="V188" s="7"/>
      <c r="W188" s="7"/>
      <c r="X188" s="7"/>
      <c r="Y188" s="7"/>
      <c r="Z188" s="7"/>
    </row>
    <row r="189" spans="1:26" ht="15.75" customHeight="1">
      <c r="A189" s="7"/>
      <c r="B189" s="7"/>
      <c r="C189" s="29"/>
      <c r="D189" s="30"/>
      <c r="E189" s="30"/>
      <c r="F189" s="30"/>
      <c r="G189" s="30"/>
      <c r="H189" s="30"/>
      <c r="I189" s="7"/>
      <c r="J189" s="7"/>
      <c r="K189" s="7"/>
      <c r="L189" s="7"/>
      <c r="M189" s="7"/>
      <c r="N189" s="7"/>
      <c r="O189" s="7"/>
      <c r="P189" s="7"/>
      <c r="Q189" s="7"/>
      <c r="R189" s="7"/>
      <c r="S189" s="7"/>
      <c r="T189" s="7"/>
      <c r="U189" s="7"/>
      <c r="V189" s="7"/>
      <c r="W189" s="7"/>
      <c r="X189" s="7"/>
      <c r="Y189" s="7"/>
      <c r="Z189" s="7"/>
    </row>
    <row r="190" spans="1:26" ht="15.75" customHeight="1">
      <c r="A190" s="7"/>
      <c r="B190" s="7"/>
      <c r="C190" s="29"/>
      <c r="D190" s="30"/>
      <c r="E190" s="30"/>
      <c r="F190" s="30"/>
      <c r="G190" s="30"/>
      <c r="H190" s="30"/>
      <c r="I190" s="7"/>
      <c r="J190" s="7"/>
      <c r="K190" s="7"/>
      <c r="L190" s="7"/>
      <c r="M190" s="7"/>
      <c r="N190" s="7"/>
      <c r="O190" s="7"/>
      <c r="P190" s="7"/>
      <c r="Q190" s="7"/>
      <c r="R190" s="7"/>
      <c r="S190" s="7"/>
      <c r="T190" s="7"/>
      <c r="U190" s="7"/>
      <c r="V190" s="7"/>
      <c r="W190" s="7"/>
      <c r="X190" s="7"/>
      <c r="Y190" s="7"/>
      <c r="Z190" s="7"/>
    </row>
    <row r="191" spans="1:26" ht="15.75" customHeight="1">
      <c r="A191" s="7"/>
      <c r="B191" s="7"/>
      <c r="C191" s="29"/>
      <c r="D191" s="30"/>
      <c r="E191" s="30"/>
      <c r="F191" s="30"/>
      <c r="G191" s="30"/>
      <c r="H191" s="30"/>
      <c r="I191" s="7"/>
      <c r="J191" s="7"/>
      <c r="K191" s="7"/>
      <c r="L191" s="7"/>
      <c r="M191" s="7"/>
      <c r="N191" s="7"/>
      <c r="O191" s="7"/>
      <c r="P191" s="7"/>
      <c r="Q191" s="7"/>
      <c r="R191" s="7"/>
      <c r="S191" s="7"/>
      <c r="T191" s="7"/>
      <c r="U191" s="7"/>
      <c r="V191" s="7"/>
      <c r="W191" s="7"/>
      <c r="X191" s="7"/>
      <c r="Y191" s="7"/>
      <c r="Z191" s="7"/>
    </row>
    <row r="192" spans="1:26" ht="15.75" customHeight="1">
      <c r="A192" s="7"/>
      <c r="B192" s="7"/>
      <c r="C192" s="29"/>
      <c r="D192" s="30"/>
      <c r="E192" s="30"/>
      <c r="F192" s="30"/>
      <c r="G192" s="30"/>
      <c r="H192" s="30"/>
      <c r="I192" s="7"/>
      <c r="J192" s="7"/>
      <c r="K192" s="7"/>
      <c r="L192" s="7"/>
      <c r="M192" s="7"/>
      <c r="N192" s="7"/>
      <c r="O192" s="7"/>
      <c r="P192" s="7"/>
      <c r="Q192" s="7"/>
      <c r="R192" s="7"/>
      <c r="S192" s="7"/>
      <c r="T192" s="7"/>
      <c r="U192" s="7"/>
      <c r="V192" s="7"/>
      <c r="W192" s="7"/>
      <c r="X192" s="7"/>
      <c r="Y192" s="7"/>
      <c r="Z192" s="7"/>
    </row>
    <row r="193" spans="1:26" ht="15.75" customHeight="1">
      <c r="A193" s="7"/>
      <c r="B193" s="7"/>
      <c r="C193" s="29"/>
      <c r="D193" s="30"/>
      <c r="E193" s="30"/>
      <c r="F193" s="30"/>
      <c r="G193" s="30"/>
      <c r="H193" s="30"/>
      <c r="I193" s="7"/>
      <c r="J193" s="7"/>
      <c r="K193" s="7"/>
      <c r="L193" s="7"/>
      <c r="M193" s="7"/>
      <c r="N193" s="7"/>
      <c r="O193" s="7"/>
      <c r="P193" s="7"/>
      <c r="Q193" s="7"/>
      <c r="R193" s="7"/>
      <c r="S193" s="7"/>
      <c r="T193" s="7"/>
      <c r="U193" s="7"/>
      <c r="V193" s="7"/>
      <c r="W193" s="7"/>
      <c r="X193" s="7"/>
      <c r="Y193" s="7"/>
      <c r="Z193" s="7"/>
    </row>
    <row r="194" spans="1:26" ht="15.75" customHeight="1">
      <c r="A194" s="7"/>
      <c r="B194" s="7"/>
      <c r="C194" s="29"/>
      <c r="D194" s="30"/>
      <c r="E194" s="30"/>
      <c r="F194" s="30"/>
      <c r="G194" s="30"/>
      <c r="H194" s="30"/>
      <c r="I194" s="7"/>
      <c r="J194" s="7"/>
      <c r="K194" s="7"/>
      <c r="L194" s="7"/>
      <c r="M194" s="7"/>
      <c r="N194" s="7"/>
      <c r="O194" s="7"/>
      <c r="P194" s="7"/>
      <c r="Q194" s="7"/>
      <c r="R194" s="7"/>
      <c r="S194" s="7"/>
      <c r="T194" s="7"/>
      <c r="U194" s="7"/>
      <c r="V194" s="7"/>
      <c r="W194" s="7"/>
      <c r="X194" s="7"/>
      <c r="Y194" s="7"/>
      <c r="Z194" s="7"/>
    </row>
    <row r="195" spans="1:26" ht="15.75" customHeight="1">
      <c r="A195" s="7"/>
      <c r="B195" s="7"/>
      <c r="C195" s="29"/>
      <c r="D195" s="30"/>
      <c r="E195" s="30"/>
      <c r="F195" s="30"/>
      <c r="G195" s="30"/>
      <c r="H195" s="30"/>
      <c r="I195" s="7"/>
      <c r="J195" s="7"/>
      <c r="K195" s="7"/>
      <c r="L195" s="7"/>
      <c r="M195" s="7"/>
      <c r="N195" s="7"/>
      <c r="O195" s="7"/>
      <c r="P195" s="7"/>
      <c r="Q195" s="7"/>
      <c r="R195" s="7"/>
      <c r="S195" s="7"/>
      <c r="T195" s="7"/>
      <c r="U195" s="7"/>
      <c r="V195" s="7"/>
      <c r="W195" s="7"/>
      <c r="X195" s="7"/>
      <c r="Y195" s="7"/>
      <c r="Z195" s="7"/>
    </row>
    <row r="196" spans="1:26" ht="15.75" customHeight="1">
      <c r="A196" s="7"/>
      <c r="B196" s="7"/>
      <c r="C196" s="29"/>
      <c r="D196" s="30"/>
      <c r="E196" s="30"/>
      <c r="F196" s="30"/>
      <c r="G196" s="30"/>
      <c r="H196" s="30"/>
      <c r="I196" s="7"/>
      <c r="J196" s="7"/>
      <c r="K196" s="7"/>
      <c r="L196" s="7"/>
      <c r="M196" s="7"/>
      <c r="N196" s="7"/>
      <c r="O196" s="7"/>
      <c r="P196" s="7"/>
      <c r="Q196" s="7"/>
      <c r="R196" s="7"/>
      <c r="S196" s="7"/>
      <c r="T196" s="7"/>
      <c r="U196" s="7"/>
      <c r="V196" s="7"/>
      <c r="W196" s="7"/>
      <c r="X196" s="7"/>
      <c r="Y196" s="7"/>
      <c r="Z196" s="7"/>
    </row>
    <row r="197" spans="1:26" ht="15.75" customHeight="1">
      <c r="A197" s="7"/>
      <c r="B197" s="7"/>
      <c r="C197" s="29"/>
      <c r="D197" s="30"/>
      <c r="E197" s="30"/>
      <c r="F197" s="30"/>
      <c r="G197" s="30"/>
      <c r="H197" s="30"/>
      <c r="I197" s="7"/>
      <c r="J197" s="7"/>
      <c r="K197" s="7"/>
      <c r="L197" s="7"/>
      <c r="M197" s="7"/>
      <c r="N197" s="7"/>
      <c r="O197" s="7"/>
      <c r="P197" s="7"/>
      <c r="Q197" s="7"/>
      <c r="R197" s="7"/>
      <c r="S197" s="7"/>
      <c r="T197" s="7"/>
      <c r="U197" s="7"/>
      <c r="V197" s="7"/>
      <c r="W197" s="7"/>
      <c r="X197" s="7"/>
      <c r="Y197" s="7"/>
      <c r="Z197" s="7"/>
    </row>
    <row r="198" spans="1:26" ht="15.75" customHeight="1">
      <c r="A198" s="7"/>
      <c r="B198" s="7"/>
      <c r="C198" s="29"/>
      <c r="D198" s="30"/>
      <c r="E198" s="30"/>
      <c r="F198" s="30"/>
      <c r="G198" s="30"/>
      <c r="H198" s="30"/>
      <c r="I198" s="7"/>
      <c r="J198" s="7"/>
      <c r="K198" s="7"/>
      <c r="L198" s="7"/>
      <c r="M198" s="7"/>
      <c r="N198" s="7"/>
      <c r="O198" s="7"/>
      <c r="P198" s="7"/>
      <c r="Q198" s="7"/>
      <c r="R198" s="7"/>
      <c r="S198" s="7"/>
      <c r="T198" s="7"/>
      <c r="U198" s="7"/>
      <c r="V198" s="7"/>
      <c r="W198" s="7"/>
      <c r="X198" s="7"/>
      <c r="Y198" s="7"/>
      <c r="Z198" s="7"/>
    </row>
    <row r="199" spans="1:26" ht="15.75" customHeight="1">
      <c r="A199" s="7"/>
      <c r="B199" s="7"/>
      <c r="C199" s="29"/>
      <c r="D199" s="30"/>
      <c r="E199" s="30"/>
      <c r="F199" s="30"/>
      <c r="G199" s="30"/>
      <c r="H199" s="30"/>
      <c r="I199" s="7"/>
      <c r="J199" s="7"/>
      <c r="K199" s="7"/>
      <c r="L199" s="7"/>
      <c r="M199" s="7"/>
      <c r="N199" s="7"/>
      <c r="O199" s="7"/>
      <c r="P199" s="7"/>
      <c r="Q199" s="7"/>
      <c r="R199" s="7"/>
      <c r="S199" s="7"/>
      <c r="T199" s="7"/>
      <c r="U199" s="7"/>
      <c r="V199" s="7"/>
      <c r="W199" s="7"/>
      <c r="X199" s="7"/>
      <c r="Y199" s="7"/>
      <c r="Z199" s="7"/>
    </row>
    <row r="200" spans="1:26" ht="15.75" customHeight="1">
      <c r="A200" s="7"/>
      <c r="B200" s="7"/>
      <c r="C200" s="29"/>
      <c r="D200" s="30"/>
      <c r="E200" s="30"/>
      <c r="F200" s="30"/>
      <c r="G200" s="30"/>
      <c r="H200" s="30"/>
      <c r="I200" s="7"/>
      <c r="J200" s="7"/>
      <c r="K200" s="7"/>
      <c r="L200" s="7"/>
      <c r="M200" s="7"/>
      <c r="N200" s="7"/>
      <c r="O200" s="7"/>
      <c r="P200" s="7"/>
      <c r="Q200" s="7"/>
      <c r="R200" s="7"/>
      <c r="S200" s="7"/>
      <c r="T200" s="7"/>
      <c r="U200" s="7"/>
      <c r="V200" s="7"/>
      <c r="W200" s="7"/>
      <c r="X200" s="7"/>
      <c r="Y200" s="7"/>
      <c r="Z200" s="7"/>
    </row>
    <row r="201" spans="1:26" ht="15.75" customHeight="1">
      <c r="A201" s="7"/>
      <c r="B201" s="7"/>
      <c r="C201" s="29"/>
      <c r="D201" s="30"/>
      <c r="E201" s="30"/>
      <c r="F201" s="30"/>
      <c r="G201" s="30"/>
      <c r="H201" s="30"/>
      <c r="I201" s="7"/>
      <c r="J201" s="7"/>
      <c r="K201" s="7"/>
      <c r="L201" s="7"/>
      <c r="M201" s="7"/>
      <c r="N201" s="7"/>
      <c r="O201" s="7"/>
      <c r="P201" s="7"/>
      <c r="Q201" s="7"/>
      <c r="R201" s="7"/>
      <c r="S201" s="7"/>
      <c r="T201" s="7"/>
      <c r="U201" s="7"/>
      <c r="V201" s="7"/>
      <c r="W201" s="7"/>
      <c r="X201" s="7"/>
      <c r="Y201" s="7"/>
      <c r="Z201" s="7"/>
    </row>
    <row r="202" spans="1:26" ht="15.75" customHeight="1">
      <c r="A202" s="7"/>
      <c r="B202" s="7"/>
      <c r="C202" s="29"/>
      <c r="D202" s="30"/>
      <c r="E202" s="30"/>
      <c r="F202" s="30"/>
      <c r="G202" s="30"/>
      <c r="H202" s="30"/>
      <c r="I202" s="7"/>
      <c r="J202" s="7"/>
      <c r="K202" s="7"/>
      <c r="L202" s="7"/>
      <c r="M202" s="7"/>
      <c r="N202" s="7"/>
      <c r="O202" s="7"/>
      <c r="P202" s="7"/>
      <c r="Q202" s="7"/>
      <c r="R202" s="7"/>
      <c r="S202" s="7"/>
      <c r="T202" s="7"/>
      <c r="U202" s="7"/>
      <c r="V202" s="7"/>
      <c r="W202" s="7"/>
      <c r="X202" s="7"/>
      <c r="Y202" s="7"/>
      <c r="Z202" s="7"/>
    </row>
    <row r="203" spans="1:26" ht="15.75" customHeight="1">
      <c r="A203" s="7"/>
      <c r="B203" s="7"/>
      <c r="C203" s="29"/>
      <c r="D203" s="30"/>
      <c r="E203" s="30"/>
      <c r="F203" s="30"/>
      <c r="G203" s="30"/>
      <c r="H203" s="30"/>
      <c r="I203" s="7"/>
      <c r="J203" s="7"/>
      <c r="K203" s="7"/>
      <c r="L203" s="7"/>
      <c r="M203" s="7"/>
      <c r="N203" s="7"/>
      <c r="O203" s="7"/>
      <c r="P203" s="7"/>
      <c r="Q203" s="7"/>
      <c r="R203" s="7"/>
      <c r="S203" s="7"/>
      <c r="T203" s="7"/>
      <c r="U203" s="7"/>
      <c r="V203" s="7"/>
      <c r="W203" s="7"/>
      <c r="X203" s="7"/>
      <c r="Y203" s="7"/>
      <c r="Z203" s="7"/>
    </row>
    <row r="204" spans="1:26" ht="15.75" customHeight="1">
      <c r="A204" s="7"/>
      <c r="B204" s="7"/>
      <c r="C204" s="29"/>
      <c r="D204" s="30"/>
      <c r="E204" s="30"/>
      <c r="F204" s="30"/>
      <c r="G204" s="30"/>
      <c r="H204" s="30"/>
      <c r="I204" s="7"/>
      <c r="J204" s="7"/>
      <c r="K204" s="7"/>
      <c r="L204" s="7"/>
      <c r="M204" s="7"/>
      <c r="N204" s="7"/>
      <c r="O204" s="7"/>
      <c r="P204" s="7"/>
      <c r="Q204" s="7"/>
      <c r="R204" s="7"/>
      <c r="S204" s="7"/>
      <c r="T204" s="7"/>
      <c r="U204" s="7"/>
      <c r="V204" s="7"/>
      <c r="W204" s="7"/>
      <c r="X204" s="7"/>
      <c r="Y204" s="7"/>
      <c r="Z204" s="7"/>
    </row>
    <row r="205" spans="1:26" ht="15.75" customHeight="1">
      <c r="A205" s="7"/>
      <c r="B205" s="7"/>
      <c r="C205" s="29"/>
      <c r="D205" s="30"/>
      <c r="E205" s="30"/>
      <c r="F205" s="30"/>
      <c r="G205" s="30"/>
      <c r="H205" s="30"/>
      <c r="I205" s="7"/>
      <c r="J205" s="7"/>
      <c r="K205" s="7"/>
      <c r="L205" s="7"/>
      <c r="M205" s="7"/>
      <c r="N205" s="7"/>
      <c r="O205" s="7"/>
      <c r="P205" s="7"/>
      <c r="Q205" s="7"/>
      <c r="R205" s="7"/>
      <c r="S205" s="7"/>
      <c r="T205" s="7"/>
      <c r="U205" s="7"/>
      <c r="V205" s="7"/>
      <c r="W205" s="7"/>
      <c r="X205" s="7"/>
      <c r="Y205" s="7"/>
      <c r="Z205" s="7"/>
    </row>
    <row r="206" spans="1:26" ht="15.75" customHeight="1">
      <c r="A206" s="7"/>
      <c r="B206" s="7"/>
      <c r="C206" s="29"/>
      <c r="D206" s="30"/>
      <c r="E206" s="30"/>
      <c r="F206" s="30"/>
      <c r="G206" s="30"/>
      <c r="H206" s="30"/>
      <c r="I206" s="7"/>
      <c r="J206" s="7"/>
      <c r="K206" s="7"/>
      <c r="L206" s="7"/>
      <c r="M206" s="7"/>
      <c r="N206" s="7"/>
      <c r="O206" s="7"/>
      <c r="P206" s="7"/>
      <c r="Q206" s="7"/>
      <c r="R206" s="7"/>
      <c r="S206" s="7"/>
      <c r="T206" s="7"/>
      <c r="U206" s="7"/>
      <c r="V206" s="7"/>
      <c r="W206" s="7"/>
      <c r="X206" s="7"/>
      <c r="Y206" s="7"/>
      <c r="Z206" s="7"/>
    </row>
    <row r="207" spans="1:26" ht="15.75" customHeight="1">
      <c r="A207" s="7"/>
      <c r="B207" s="7"/>
      <c r="C207" s="29"/>
      <c r="D207" s="30"/>
      <c r="E207" s="30"/>
      <c r="F207" s="30"/>
      <c r="G207" s="30"/>
      <c r="H207" s="30"/>
      <c r="I207" s="7"/>
      <c r="J207" s="7"/>
      <c r="K207" s="7"/>
      <c r="L207" s="7"/>
      <c r="M207" s="7"/>
      <c r="N207" s="7"/>
      <c r="O207" s="7"/>
      <c r="P207" s="7"/>
      <c r="Q207" s="7"/>
      <c r="R207" s="7"/>
      <c r="S207" s="7"/>
      <c r="T207" s="7"/>
      <c r="U207" s="7"/>
      <c r="V207" s="7"/>
      <c r="W207" s="7"/>
      <c r="X207" s="7"/>
      <c r="Y207" s="7"/>
      <c r="Z207" s="7"/>
    </row>
    <row r="208" spans="1:26" ht="15.75" customHeight="1">
      <c r="A208" s="7"/>
      <c r="B208" s="7"/>
      <c r="C208" s="29"/>
      <c r="D208" s="30"/>
      <c r="E208" s="30"/>
      <c r="F208" s="30"/>
      <c r="G208" s="30"/>
      <c r="H208" s="30"/>
      <c r="I208" s="7"/>
      <c r="J208" s="7"/>
      <c r="K208" s="7"/>
      <c r="L208" s="7"/>
      <c r="M208" s="7"/>
      <c r="N208" s="7"/>
      <c r="O208" s="7"/>
      <c r="P208" s="7"/>
      <c r="Q208" s="7"/>
      <c r="R208" s="7"/>
      <c r="S208" s="7"/>
      <c r="T208" s="7"/>
      <c r="U208" s="7"/>
      <c r="V208" s="7"/>
      <c r="W208" s="7"/>
      <c r="X208" s="7"/>
      <c r="Y208" s="7"/>
      <c r="Z208" s="7"/>
    </row>
    <row r="209" spans="1:26" ht="15.75" customHeight="1">
      <c r="A209" s="7"/>
      <c r="B209" s="7"/>
      <c r="C209" s="29"/>
      <c r="D209" s="30"/>
      <c r="E209" s="30"/>
      <c r="F209" s="30"/>
      <c r="G209" s="30"/>
      <c r="H209" s="30"/>
      <c r="I209" s="7"/>
      <c r="J209" s="7"/>
      <c r="K209" s="7"/>
      <c r="L209" s="7"/>
      <c r="M209" s="7"/>
      <c r="N209" s="7"/>
      <c r="O209" s="7"/>
      <c r="P209" s="7"/>
      <c r="Q209" s="7"/>
      <c r="R209" s="7"/>
      <c r="S209" s="7"/>
      <c r="T209" s="7"/>
      <c r="U209" s="7"/>
      <c r="V209" s="7"/>
      <c r="W209" s="7"/>
      <c r="X209" s="7"/>
      <c r="Y209" s="7"/>
      <c r="Z209" s="7"/>
    </row>
    <row r="210" spans="1:26" ht="15.75" customHeight="1">
      <c r="A210" s="7"/>
      <c r="B210" s="7"/>
      <c r="C210" s="29"/>
      <c r="D210" s="30"/>
      <c r="E210" s="30"/>
      <c r="F210" s="30"/>
      <c r="G210" s="30"/>
      <c r="H210" s="30"/>
      <c r="I210" s="7"/>
      <c r="J210" s="7"/>
      <c r="K210" s="7"/>
      <c r="L210" s="7"/>
      <c r="M210" s="7"/>
      <c r="N210" s="7"/>
      <c r="O210" s="7"/>
      <c r="P210" s="7"/>
      <c r="Q210" s="7"/>
      <c r="R210" s="7"/>
      <c r="S210" s="7"/>
      <c r="T210" s="7"/>
      <c r="U210" s="7"/>
      <c r="V210" s="7"/>
      <c r="W210" s="7"/>
      <c r="X210" s="7"/>
      <c r="Y210" s="7"/>
      <c r="Z210" s="7"/>
    </row>
    <row r="211" spans="1:26" ht="15.75" customHeight="1">
      <c r="A211" s="7"/>
      <c r="B211" s="7"/>
      <c r="C211" s="29"/>
      <c r="D211" s="30"/>
      <c r="E211" s="30"/>
      <c r="F211" s="30"/>
      <c r="G211" s="30"/>
      <c r="H211" s="30"/>
      <c r="I211" s="7"/>
      <c r="J211" s="7"/>
      <c r="K211" s="7"/>
      <c r="L211" s="7"/>
      <c r="M211" s="7"/>
      <c r="N211" s="7"/>
      <c r="O211" s="7"/>
      <c r="P211" s="7"/>
      <c r="Q211" s="7"/>
      <c r="R211" s="7"/>
      <c r="S211" s="7"/>
      <c r="T211" s="7"/>
      <c r="U211" s="7"/>
      <c r="V211" s="7"/>
      <c r="W211" s="7"/>
      <c r="X211" s="7"/>
      <c r="Y211" s="7"/>
      <c r="Z211" s="7"/>
    </row>
    <row r="212" spans="1:26" ht="15.75" customHeight="1">
      <c r="A212" s="7"/>
      <c r="B212" s="7"/>
      <c r="C212" s="29"/>
      <c r="D212" s="30"/>
      <c r="E212" s="30"/>
      <c r="F212" s="30"/>
      <c r="G212" s="30"/>
      <c r="H212" s="30"/>
      <c r="I212" s="7"/>
      <c r="J212" s="7"/>
      <c r="K212" s="7"/>
      <c r="L212" s="7"/>
      <c r="M212" s="7"/>
      <c r="N212" s="7"/>
      <c r="O212" s="7"/>
      <c r="P212" s="7"/>
      <c r="Q212" s="7"/>
      <c r="R212" s="7"/>
      <c r="S212" s="7"/>
      <c r="T212" s="7"/>
      <c r="U212" s="7"/>
      <c r="V212" s="7"/>
      <c r="W212" s="7"/>
      <c r="X212" s="7"/>
      <c r="Y212" s="7"/>
      <c r="Z212" s="7"/>
    </row>
    <row r="213" spans="1:26" ht="15.75" customHeight="1">
      <c r="A213" s="7"/>
      <c r="B213" s="7"/>
      <c r="C213" s="29"/>
      <c r="D213" s="30"/>
      <c r="E213" s="30"/>
      <c r="F213" s="30"/>
      <c r="G213" s="30"/>
      <c r="H213" s="30"/>
      <c r="I213" s="7"/>
      <c r="J213" s="7"/>
      <c r="K213" s="7"/>
      <c r="L213" s="7"/>
      <c r="M213" s="7"/>
      <c r="N213" s="7"/>
      <c r="O213" s="7"/>
      <c r="P213" s="7"/>
      <c r="Q213" s="7"/>
      <c r="R213" s="7"/>
      <c r="S213" s="7"/>
      <c r="T213" s="7"/>
      <c r="U213" s="7"/>
      <c r="V213" s="7"/>
      <c r="W213" s="7"/>
      <c r="X213" s="7"/>
      <c r="Y213" s="7"/>
      <c r="Z213" s="7"/>
    </row>
    <row r="214" spans="1:26" ht="15.75" customHeight="1">
      <c r="A214" s="7"/>
      <c r="B214" s="7"/>
      <c r="C214" s="29"/>
      <c r="D214" s="30"/>
      <c r="E214" s="30"/>
      <c r="F214" s="30"/>
      <c r="G214" s="30"/>
      <c r="H214" s="30"/>
      <c r="I214" s="7"/>
      <c r="J214" s="7"/>
      <c r="K214" s="7"/>
      <c r="L214" s="7"/>
      <c r="M214" s="7"/>
      <c r="N214" s="7"/>
      <c r="O214" s="7"/>
      <c r="P214" s="7"/>
      <c r="Q214" s="7"/>
      <c r="R214" s="7"/>
      <c r="S214" s="7"/>
      <c r="T214" s="7"/>
      <c r="U214" s="7"/>
      <c r="V214" s="7"/>
      <c r="W214" s="7"/>
      <c r="X214" s="7"/>
      <c r="Y214" s="7"/>
      <c r="Z214" s="7"/>
    </row>
    <row r="215" spans="1:26" ht="15.75" customHeight="1">
      <c r="A215" s="7"/>
      <c r="B215" s="7"/>
      <c r="C215" s="29"/>
      <c r="D215" s="30"/>
      <c r="E215" s="30"/>
      <c r="F215" s="30"/>
      <c r="G215" s="30"/>
      <c r="H215" s="30"/>
      <c r="I215" s="7"/>
      <c r="J215" s="7"/>
      <c r="K215" s="7"/>
      <c r="L215" s="7"/>
      <c r="M215" s="7"/>
      <c r="N215" s="7"/>
      <c r="O215" s="7"/>
      <c r="P215" s="7"/>
      <c r="Q215" s="7"/>
      <c r="R215" s="7"/>
      <c r="S215" s="7"/>
      <c r="T215" s="7"/>
      <c r="U215" s="7"/>
      <c r="V215" s="7"/>
      <c r="W215" s="7"/>
      <c r="X215" s="7"/>
      <c r="Y215" s="7"/>
      <c r="Z215" s="7"/>
    </row>
    <row r="216" spans="1:26" ht="15.75" customHeight="1">
      <c r="A216" s="7"/>
      <c r="B216" s="7"/>
      <c r="C216" s="29"/>
      <c r="D216" s="30"/>
      <c r="E216" s="30"/>
      <c r="F216" s="30"/>
      <c r="G216" s="30"/>
      <c r="H216" s="30"/>
      <c r="I216" s="7"/>
      <c r="J216" s="7"/>
      <c r="K216" s="7"/>
      <c r="L216" s="7"/>
      <c r="M216" s="7"/>
      <c r="N216" s="7"/>
      <c r="O216" s="7"/>
      <c r="P216" s="7"/>
      <c r="Q216" s="7"/>
      <c r="R216" s="7"/>
      <c r="S216" s="7"/>
      <c r="T216" s="7"/>
      <c r="U216" s="7"/>
      <c r="V216" s="7"/>
      <c r="W216" s="7"/>
      <c r="X216" s="7"/>
      <c r="Y216" s="7"/>
      <c r="Z216" s="7"/>
    </row>
    <row r="217" spans="1:26" ht="15.75" customHeight="1">
      <c r="A217" s="7"/>
      <c r="B217" s="7"/>
      <c r="C217" s="29"/>
      <c r="D217" s="30"/>
      <c r="E217" s="30"/>
      <c r="F217" s="30"/>
      <c r="G217" s="30"/>
      <c r="H217" s="30"/>
      <c r="I217" s="7"/>
      <c r="J217" s="7"/>
      <c r="K217" s="7"/>
      <c r="L217" s="7"/>
      <c r="M217" s="7"/>
      <c r="N217" s="7"/>
      <c r="O217" s="7"/>
      <c r="P217" s="7"/>
      <c r="Q217" s="7"/>
      <c r="R217" s="7"/>
      <c r="S217" s="7"/>
      <c r="T217" s="7"/>
      <c r="U217" s="7"/>
      <c r="V217" s="7"/>
      <c r="W217" s="7"/>
      <c r="X217" s="7"/>
      <c r="Y217" s="7"/>
      <c r="Z217" s="7"/>
    </row>
    <row r="218" spans="1:26" ht="15.75" customHeight="1">
      <c r="A218" s="7"/>
      <c r="B218" s="7"/>
      <c r="C218" s="29"/>
      <c r="D218" s="30"/>
      <c r="E218" s="30"/>
      <c r="F218" s="30"/>
      <c r="G218" s="30"/>
      <c r="H218" s="30"/>
      <c r="I218" s="7"/>
      <c r="J218" s="7"/>
      <c r="K218" s="7"/>
      <c r="L218" s="7"/>
      <c r="M218" s="7"/>
      <c r="N218" s="7"/>
      <c r="O218" s="7"/>
      <c r="P218" s="7"/>
      <c r="Q218" s="7"/>
      <c r="R218" s="7"/>
      <c r="S218" s="7"/>
      <c r="T218" s="7"/>
      <c r="U218" s="7"/>
      <c r="V218" s="7"/>
      <c r="W218" s="7"/>
      <c r="X218" s="7"/>
      <c r="Y218" s="7"/>
      <c r="Z218" s="7"/>
    </row>
    <row r="219" spans="1:26" ht="15.75" customHeight="1">
      <c r="A219" s="7"/>
      <c r="B219" s="7"/>
      <c r="C219" s="29"/>
      <c r="D219" s="30"/>
      <c r="E219" s="30"/>
      <c r="F219" s="30"/>
      <c r="G219" s="30"/>
      <c r="H219" s="30"/>
      <c r="I219" s="7"/>
      <c r="J219" s="7"/>
      <c r="K219" s="7"/>
      <c r="L219" s="7"/>
      <c r="M219" s="7"/>
      <c r="N219" s="7"/>
      <c r="O219" s="7"/>
      <c r="P219" s="7"/>
      <c r="Q219" s="7"/>
      <c r="R219" s="7"/>
      <c r="S219" s="7"/>
      <c r="T219" s="7"/>
      <c r="U219" s="7"/>
      <c r="V219" s="7"/>
      <c r="W219" s="7"/>
      <c r="X219" s="7"/>
      <c r="Y219" s="7"/>
      <c r="Z219" s="7"/>
    </row>
    <row r="220" spans="1:26" ht="15.75" customHeight="1">
      <c r="A220" s="7"/>
      <c r="B220" s="7"/>
      <c r="C220" s="29"/>
      <c r="D220" s="30"/>
      <c r="E220" s="30"/>
      <c r="F220" s="30"/>
      <c r="G220" s="30"/>
      <c r="H220" s="30"/>
      <c r="I220" s="7"/>
      <c r="J220" s="7"/>
      <c r="K220" s="7"/>
      <c r="L220" s="7"/>
      <c r="M220" s="7"/>
      <c r="N220" s="7"/>
      <c r="O220" s="7"/>
      <c r="P220" s="7"/>
      <c r="Q220" s="7"/>
      <c r="R220" s="7"/>
      <c r="S220" s="7"/>
      <c r="T220" s="7"/>
      <c r="U220" s="7"/>
      <c r="V220" s="7"/>
      <c r="W220" s="7"/>
      <c r="X220" s="7"/>
      <c r="Y220" s="7"/>
      <c r="Z220" s="7"/>
    </row>
    <row r="221" spans="1:26" ht="15.75" customHeight="1">
      <c r="A221" s="7"/>
      <c r="B221" s="7"/>
      <c r="C221" s="29"/>
      <c r="D221" s="30"/>
      <c r="E221" s="30"/>
      <c r="F221" s="30"/>
      <c r="G221" s="30"/>
      <c r="H221" s="30"/>
      <c r="I221" s="7"/>
      <c r="J221" s="7"/>
      <c r="K221" s="7"/>
      <c r="L221" s="7"/>
      <c r="M221" s="7"/>
      <c r="N221" s="7"/>
      <c r="O221" s="7"/>
      <c r="P221" s="7"/>
      <c r="Q221" s="7"/>
      <c r="R221" s="7"/>
      <c r="S221" s="7"/>
      <c r="T221" s="7"/>
      <c r="U221" s="7"/>
      <c r="V221" s="7"/>
      <c r="W221" s="7"/>
      <c r="X221" s="7"/>
      <c r="Y221" s="7"/>
      <c r="Z221" s="7"/>
    </row>
    <row r="222" spans="1:26" ht="15.75" customHeight="1">
      <c r="A222" s="7"/>
      <c r="B222" s="7"/>
      <c r="C222" s="29"/>
      <c r="D222" s="30"/>
      <c r="E222" s="30"/>
      <c r="F222" s="30"/>
      <c r="G222" s="30"/>
      <c r="H222" s="30"/>
      <c r="I222" s="7"/>
      <c r="J222" s="7"/>
      <c r="K222" s="7"/>
      <c r="L222" s="7"/>
      <c r="M222" s="7"/>
      <c r="N222" s="7"/>
      <c r="O222" s="7"/>
      <c r="P222" s="7"/>
      <c r="Q222" s="7"/>
      <c r="R222" s="7"/>
      <c r="S222" s="7"/>
      <c r="T222" s="7"/>
      <c r="U222" s="7"/>
      <c r="V222" s="7"/>
      <c r="W222" s="7"/>
      <c r="X222" s="7"/>
      <c r="Y222" s="7"/>
      <c r="Z222" s="7"/>
    </row>
    <row r="223" spans="1:26" ht="15.75" customHeight="1">
      <c r="A223" s="7"/>
      <c r="B223" s="7"/>
      <c r="C223" s="29"/>
      <c r="D223" s="30"/>
      <c r="E223" s="30"/>
      <c r="F223" s="30"/>
      <c r="G223" s="30"/>
      <c r="H223" s="30"/>
      <c r="I223" s="7"/>
      <c r="J223" s="7"/>
      <c r="K223" s="7"/>
      <c r="L223" s="7"/>
      <c r="M223" s="7"/>
      <c r="N223" s="7"/>
      <c r="O223" s="7"/>
      <c r="P223" s="7"/>
      <c r="Q223" s="7"/>
      <c r="R223" s="7"/>
      <c r="S223" s="7"/>
      <c r="T223" s="7"/>
      <c r="U223" s="7"/>
      <c r="V223" s="7"/>
      <c r="W223" s="7"/>
      <c r="X223" s="7"/>
      <c r="Y223" s="7"/>
      <c r="Z223" s="7"/>
    </row>
    <row r="224" spans="1:26" ht="15.75" customHeight="1">
      <c r="A224" s="7"/>
      <c r="B224" s="7"/>
      <c r="C224" s="29"/>
      <c r="D224" s="30"/>
      <c r="E224" s="30"/>
      <c r="F224" s="30"/>
      <c r="G224" s="30"/>
      <c r="H224" s="30"/>
      <c r="I224" s="7"/>
      <c r="J224" s="7"/>
      <c r="K224" s="7"/>
      <c r="L224" s="7"/>
      <c r="M224" s="7"/>
      <c r="N224" s="7"/>
      <c r="O224" s="7"/>
      <c r="P224" s="7"/>
      <c r="Q224" s="7"/>
      <c r="R224" s="7"/>
      <c r="S224" s="7"/>
      <c r="T224" s="7"/>
      <c r="U224" s="7"/>
      <c r="V224" s="7"/>
      <c r="W224" s="7"/>
      <c r="X224" s="7"/>
      <c r="Y224" s="7"/>
      <c r="Z224" s="7"/>
    </row>
    <row r="225" spans="1:26" ht="15.75" customHeight="1">
      <c r="A225" s="7"/>
      <c r="B225" s="7"/>
      <c r="C225" s="29"/>
      <c r="D225" s="30"/>
      <c r="E225" s="30"/>
      <c r="F225" s="30"/>
      <c r="G225" s="30"/>
      <c r="H225" s="30"/>
      <c r="I225" s="7"/>
      <c r="J225" s="7"/>
      <c r="K225" s="7"/>
      <c r="L225" s="7"/>
      <c r="M225" s="7"/>
      <c r="N225" s="7"/>
      <c r="O225" s="7"/>
      <c r="P225" s="7"/>
      <c r="Q225" s="7"/>
      <c r="R225" s="7"/>
      <c r="S225" s="7"/>
      <c r="T225" s="7"/>
      <c r="U225" s="7"/>
      <c r="V225" s="7"/>
      <c r="W225" s="7"/>
      <c r="X225" s="7"/>
      <c r="Y225" s="7"/>
      <c r="Z225" s="7"/>
    </row>
    <row r="226" spans="1:26" ht="15.75" customHeight="1">
      <c r="A226" s="7"/>
      <c r="B226" s="7"/>
      <c r="C226" s="29"/>
      <c r="D226" s="30"/>
      <c r="E226" s="30"/>
      <c r="F226" s="30"/>
      <c r="G226" s="30"/>
      <c r="H226" s="30"/>
      <c r="I226" s="7"/>
      <c r="J226" s="7"/>
      <c r="K226" s="7"/>
      <c r="L226" s="7"/>
      <c r="M226" s="7"/>
      <c r="N226" s="7"/>
      <c r="O226" s="7"/>
      <c r="P226" s="7"/>
      <c r="Q226" s="7"/>
      <c r="R226" s="7"/>
      <c r="S226" s="7"/>
      <c r="T226" s="7"/>
      <c r="U226" s="7"/>
      <c r="V226" s="7"/>
      <c r="W226" s="7"/>
      <c r="X226" s="7"/>
      <c r="Y226" s="7"/>
      <c r="Z226" s="7"/>
    </row>
    <row r="227" spans="1:26" ht="15.75" customHeight="1">
      <c r="A227" s="7"/>
      <c r="B227" s="7"/>
      <c r="C227" s="29"/>
      <c r="D227" s="30"/>
      <c r="E227" s="30"/>
      <c r="F227" s="30"/>
      <c r="G227" s="30"/>
      <c r="H227" s="30"/>
      <c r="I227" s="7"/>
      <c r="J227" s="7"/>
      <c r="K227" s="7"/>
      <c r="L227" s="7"/>
      <c r="M227" s="7"/>
      <c r="N227" s="7"/>
      <c r="O227" s="7"/>
      <c r="P227" s="7"/>
      <c r="Q227" s="7"/>
      <c r="R227" s="7"/>
      <c r="S227" s="7"/>
      <c r="T227" s="7"/>
      <c r="U227" s="7"/>
      <c r="V227" s="7"/>
      <c r="W227" s="7"/>
      <c r="X227" s="7"/>
      <c r="Y227" s="7"/>
      <c r="Z227" s="7"/>
    </row>
    <row r="228" spans="1:26" ht="15.75" customHeight="1">
      <c r="A228" s="7"/>
      <c r="B228" s="7"/>
      <c r="C228" s="29"/>
      <c r="D228" s="30"/>
      <c r="E228" s="30"/>
      <c r="F228" s="30"/>
      <c r="G228" s="30"/>
      <c r="H228" s="30"/>
      <c r="I228" s="7"/>
      <c r="J228" s="7"/>
      <c r="K228" s="7"/>
      <c r="L228" s="7"/>
      <c r="M228" s="7"/>
      <c r="N228" s="7"/>
      <c r="O228" s="7"/>
      <c r="P228" s="7"/>
      <c r="Q228" s="7"/>
      <c r="R228" s="7"/>
      <c r="S228" s="7"/>
      <c r="T228" s="7"/>
      <c r="U228" s="7"/>
      <c r="V228" s="7"/>
      <c r="W228" s="7"/>
      <c r="X228" s="7"/>
      <c r="Y228" s="7"/>
      <c r="Z228" s="7"/>
    </row>
    <row r="229" spans="1:26" ht="15.75" customHeight="1">
      <c r="A229" s="7"/>
      <c r="B229" s="7"/>
      <c r="C229" s="29"/>
      <c r="D229" s="30"/>
      <c r="E229" s="30"/>
      <c r="F229" s="30"/>
      <c r="G229" s="30"/>
      <c r="H229" s="30"/>
      <c r="I229" s="7"/>
      <c r="J229" s="7"/>
      <c r="K229" s="7"/>
      <c r="L229" s="7"/>
      <c r="M229" s="7"/>
      <c r="N229" s="7"/>
      <c r="O229" s="7"/>
      <c r="P229" s="7"/>
      <c r="Q229" s="7"/>
      <c r="R229" s="7"/>
      <c r="S229" s="7"/>
      <c r="T229" s="7"/>
      <c r="U229" s="7"/>
      <c r="V229" s="7"/>
      <c r="W229" s="7"/>
      <c r="X229" s="7"/>
      <c r="Y229" s="7"/>
      <c r="Z229" s="7"/>
    </row>
    <row r="230" spans="1:26" ht="15.75" customHeight="1">
      <c r="A230" s="7"/>
      <c r="B230" s="7"/>
      <c r="C230" s="29"/>
      <c r="D230" s="30"/>
      <c r="E230" s="30"/>
      <c r="F230" s="30"/>
      <c r="G230" s="30"/>
      <c r="H230" s="30"/>
      <c r="I230" s="7"/>
      <c r="J230" s="7"/>
      <c r="K230" s="7"/>
      <c r="L230" s="7"/>
      <c r="M230" s="7"/>
      <c r="N230" s="7"/>
      <c r="O230" s="7"/>
      <c r="P230" s="7"/>
      <c r="Q230" s="7"/>
      <c r="R230" s="7"/>
      <c r="S230" s="7"/>
      <c r="T230" s="7"/>
      <c r="U230" s="7"/>
      <c r="V230" s="7"/>
      <c r="W230" s="7"/>
      <c r="X230" s="7"/>
      <c r="Y230" s="7"/>
      <c r="Z230" s="7"/>
    </row>
    <row r="231" spans="1:26" ht="15.75" customHeight="1">
      <c r="A231" s="7"/>
      <c r="B231" s="7"/>
      <c r="C231" s="29"/>
      <c r="D231" s="30"/>
      <c r="E231" s="30"/>
      <c r="F231" s="30"/>
      <c r="G231" s="30"/>
      <c r="H231" s="30"/>
      <c r="I231" s="7"/>
      <c r="J231" s="7"/>
      <c r="K231" s="7"/>
      <c r="L231" s="7"/>
      <c r="M231" s="7"/>
      <c r="N231" s="7"/>
      <c r="O231" s="7"/>
      <c r="P231" s="7"/>
      <c r="Q231" s="7"/>
      <c r="R231" s="7"/>
      <c r="S231" s="7"/>
      <c r="T231" s="7"/>
      <c r="U231" s="7"/>
      <c r="V231" s="7"/>
      <c r="W231" s="7"/>
      <c r="X231" s="7"/>
      <c r="Y231" s="7"/>
      <c r="Z231" s="7"/>
    </row>
    <row r="232" spans="1:26" ht="15.75" customHeight="1">
      <c r="A232" s="7"/>
      <c r="B232" s="7"/>
      <c r="C232" s="29"/>
      <c r="D232" s="30"/>
      <c r="E232" s="30"/>
      <c r="F232" s="30"/>
      <c r="G232" s="30"/>
      <c r="H232" s="30"/>
      <c r="I232" s="7"/>
      <c r="J232" s="7"/>
      <c r="K232" s="7"/>
      <c r="L232" s="7"/>
      <c r="M232" s="7"/>
      <c r="N232" s="7"/>
      <c r="O232" s="7"/>
      <c r="P232" s="7"/>
      <c r="Q232" s="7"/>
      <c r="R232" s="7"/>
      <c r="S232" s="7"/>
      <c r="T232" s="7"/>
      <c r="U232" s="7"/>
      <c r="V232" s="7"/>
      <c r="W232" s="7"/>
      <c r="X232" s="7"/>
      <c r="Y232" s="7"/>
      <c r="Z232" s="7"/>
    </row>
    <row r="233" spans="1:26" ht="15.75" customHeight="1">
      <c r="A233" s="7"/>
      <c r="B233" s="7"/>
      <c r="C233" s="29"/>
      <c r="D233" s="30"/>
      <c r="E233" s="30"/>
      <c r="F233" s="30"/>
      <c r="G233" s="30"/>
      <c r="H233" s="30"/>
      <c r="I233" s="7"/>
      <c r="J233" s="7"/>
      <c r="K233" s="7"/>
      <c r="L233" s="7"/>
      <c r="M233" s="7"/>
      <c r="N233" s="7"/>
      <c r="O233" s="7"/>
      <c r="P233" s="7"/>
      <c r="Q233" s="7"/>
      <c r="R233" s="7"/>
      <c r="S233" s="7"/>
      <c r="T233" s="7"/>
      <c r="U233" s="7"/>
      <c r="V233" s="7"/>
      <c r="W233" s="7"/>
      <c r="X233" s="7"/>
      <c r="Y233" s="7"/>
      <c r="Z233" s="7"/>
    </row>
    <row r="234" spans="1:26" ht="15.75" customHeight="1">
      <c r="A234" s="7"/>
      <c r="B234" s="7"/>
      <c r="C234" s="29"/>
      <c r="D234" s="30"/>
      <c r="E234" s="30"/>
      <c r="F234" s="30"/>
      <c r="G234" s="30"/>
      <c r="H234" s="30"/>
      <c r="I234" s="7"/>
      <c r="J234" s="7"/>
      <c r="K234" s="7"/>
      <c r="L234" s="7"/>
      <c r="M234" s="7"/>
      <c r="N234" s="7"/>
      <c r="O234" s="7"/>
      <c r="P234" s="7"/>
      <c r="Q234" s="7"/>
      <c r="R234" s="7"/>
      <c r="S234" s="7"/>
      <c r="T234" s="7"/>
      <c r="U234" s="7"/>
      <c r="V234" s="7"/>
      <c r="W234" s="7"/>
      <c r="X234" s="7"/>
      <c r="Y234" s="7"/>
      <c r="Z234" s="7"/>
    </row>
    <row r="235" spans="1:26" ht="15.75" customHeight="1">
      <c r="A235" s="7"/>
      <c r="B235" s="7"/>
      <c r="C235" s="29"/>
      <c r="D235" s="30"/>
      <c r="E235" s="30"/>
      <c r="F235" s="30"/>
      <c r="G235" s="30"/>
      <c r="H235" s="30"/>
      <c r="I235" s="7"/>
      <c r="J235" s="7"/>
      <c r="K235" s="7"/>
      <c r="L235" s="7"/>
      <c r="M235" s="7"/>
      <c r="N235" s="7"/>
      <c r="O235" s="7"/>
      <c r="P235" s="7"/>
      <c r="Q235" s="7"/>
      <c r="R235" s="7"/>
      <c r="S235" s="7"/>
      <c r="T235" s="7"/>
      <c r="U235" s="7"/>
      <c r="V235" s="7"/>
      <c r="W235" s="7"/>
      <c r="X235" s="7"/>
      <c r="Y235" s="7"/>
      <c r="Z235" s="7"/>
    </row>
    <row r="236" spans="1:26" ht="15.75" customHeight="1">
      <c r="A236" s="7"/>
      <c r="B236" s="7"/>
      <c r="C236" s="29"/>
      <c r="D236" s="30"/>
      <c r="E236" s="30"/>
      <c r="F236" s="30"/>
      <c r="G236" s="30"/>
      <c r="H236" s="30"/>
      <c r="I236" s="7"/>
      <c r="J236" s="7"/>
      <c r="K236" s="7"/>
      <c r="L236" s="7"/>
      <c r="M236" s="7"/>
      <c r="N236" s="7"/>
      <c r="O236" s="7"/>
      <c r="P236" s="7"/>
      <c r="Q236" s="7"/>
      <c r="R236" s="7"/>
      <c r="S236" s="7"/>
      <c r="T236" s="7"/>
      <c r="U236" s="7"/>
      <c r="V236" s="7"/>
      <c r="W236" s="7"/>
      <c r="X236" s="7"/>
      <c r="Y236" s="7"/>
      <c r="Z236" s="7"/>
    </row>
    <row r="237" spans="1:26" ht="15.75" customHeight="1">
      <c r="A237" s="7"/>
      <c r="B237" s="7"/>
      <c r="C237" s="29"/>
      <c r="D237" s="30"/>
      <c r="E237" s="30"/>
      <c r="F237" s="30"/>
      <c r="G237" s="30"/>
      <c r="H237" s="30"/>
      <c r="I237" s="7"/>
      <c r="J237" s="7"/>
      <c r="K237" s="7"/>
      <c r="L237" s="7"/>
      <c r="M237" s="7"/>
      <c r="N237" s="7"/>
      <c r="O237" s="7"/>
      <c r="P237" s="7"/>
      <c r="Q237" s="7"/>
      <c r="R237" s="7"/>
      <c r="S237" s="7"/>
      <c r="T237" s="7"/>
      <c r="U237" s="7"/>
      <c r="V237" s="7"/>
      <c r="W237" s="7"/>
      <c r="X237" s="7"/>
      <c r="Y237" s="7"/>
      <c r="Z237" s="7"/>
    </row>
    <row r="238" spans="1:26" ht="15.75" customHeight="1">
      <c r="A238" s="7"/>
      <c r="B238" s="7"/>
      <c r="C238" s="29"/>
      <c r="D238" s="30"/>
      <c r="E238" s="30"/>
      <c r="F238" s="30"/>
      <c r="G238" s="30"/>
      <c r="H238" s="30"/>
      <c r="I238" s="7"/>
      <c r="J238" s="7"/>
      <c r="K238" s="7"/>
      <c r="L238" s="7"/>
      <c r="M238" s="7"/>
      <c r="N238" s="7"/>
      <c r="O238" s="7"/>
      <c r="P238" s="7"/>
      <c r="Q238" s="7"/>
      <c r="R238" s="7"/>
      <c r="S238" s="7"/>
      <c r="T238" s="7"/>
      <c r="U238" s="7"/>
      <c r="V238" s="7"/>
      <c r="W238" s="7"/>
      <c r="X238" s="7"/>
      <c r="Y238" s="7"/>
      <c r="Z238" s="7"/>
    </row>
    <row r="239" spans="1:26" ht="15.75" customHeight="1">
      <c r="A239" s="7"/>
      <c r="B239" s="7"/>
      <c r="C239" s="29"/>
      <c r="D239" s="30"/>
      <c r="E239" s="30"/>
      <c r="F239" s="30"/>
      <c r="G239" s="30"/>
      <c r="H239" s="30"/>
      <c r="I239" s="7"/>
      <c r="J239" s="7"/>
      <c r="K239" s="7"/>
      <c r="L239" s="7"/>
      <c r="M239" s="7"/>
      <c r="N239" s="7"/>
      <c r="O239" s="7"/>
      <c r="P239" s="7"/>
      <c r="Q239" s="7"/>
      <c r="R239" s="7"/>
      <c r="S239" s="7"/>
      <c r="T239" s="7"/>
      <c r="U239" s="7"/>
      <c r="V239" s="7"/>
      <c r="W239" s="7"/>
      <c r="X239" s="7"/>
      <c r="Y239" s="7"/>
      <c r="Z239" s="7"/>
    </row>
    <row r="240" spans="1:26" ht="15.75" customHeight="1">
      <c r="A240" s="7"/>
      <c r="B240" s="7"/>
      <c r="C240" s="29"/>
      <c r="D240" s="30"/>
      <c r="E240" s="30"/>
      <c r="F240" s="30"/>
      <c r="G240" s="30"/>
      <c r="H240" s="30"/>
      <c r="I240" s="7"/>
      <c r="J240" s="7"/>
      <c r="K240" s="7"/>
      <c r="L240" s="7"/>
      <c r="M240" s="7"/>
      <c r="N240" s="7"/>
      <c r="O240" s="7"/>
      <c r="P240" s="7"/>
      <c r="Q240" s="7"/>
      <c r="R240" s="7"/>
      <c r="S240" s="7"/>
      <c r="T240" s="7"/>
      <c r="U240" s="7"/>
      <c r="V240" s="7"/>
      <c r="W240" s="7"/>
      <c r="X240" s="7"/>
      <c r="Y240" s="7"/>
      <c r="Z240" s="7"/>
    </row>
    <row r="241" spans="1:26" ht="15.75" customHeight="1">
      <c r="A241" s="7"/>
      <c r="B241" s="7"/>
      <c r="C241" s="29"/>
      <c r="D241" s="30"/>
      <c r="E241" s="30"/>
      <c r="F241" s="30"/>
      <c r="G241" s="30"/>
      <c r="H241" s="30"/>
      <c r="I241" s="7"/>
      <c r="J241" s="7"/>
      <c r="K241" s="7"/>
      <c r="L241" s="7"/>
      <c r="M241" s="7"/>
      <c r="N241" s="7"/>
      <c r="O241" s="7"/>
      <c r="P241" s="7"/>
      <c r="Q241" s="7"/>
      <c r="R241" s="7"/>
      <c r="S241" s="7"/>
      <c r="T241" s="7"/>
      <c r="U241" s="7"/>
      <c r="V241" s="7"/>
      <c r="W241" s="7"/>
      <c r="X241" s="7"/>
      <c r="Y241" s="7"/>
      <c r="Z241" s="7"/>
    </row>
    <row r="242" spans="1:26" ht="15.75" customHeight="1">
      <c r="A242" s="7"/>
      <c r="B242" s="7"/>
      <c r="C242" s="29"/>
      <c r="D242" s="30"/>
      <c r="E242" s="30"/>
      <c r="F242" s="30"/>
      <c r="G242" s="30"/>
      <c r="H242" s="30"/>
      <c r="I242" s="7"/>
      <c r="J242" s="7"/>
      <c r="K242" s="7"/>
      <c r="L242" s="7"/>
      <c r="M242" s="7"/>
      <c r="N242" s="7"/>
      <c r="O242" s="7"/>
      <c r="P242" s="7"/>
      <c r="Q242" s="7"/>
      <c r="R242" s="7"/>
      <c r="S242" s="7"/>
      <c r="T242" s="7"/>
      <c r="U242" s="7"/>
      <c r="V242" s="7"/>
      <c r="W242" s="7"/>
      <c r="X242" s="7"/>
      <c r="Y242" s="7"/>
      <c r="Z242" s="7"/>
    </row>
    <row r="243" spans="1:26" ht="15.75" customHeight="1">
      <c r="A243" s="7"/>
      <c r="B243" s="7"/>
      <c r="C243" s="29"/>
      <c r="D243" s="30"/>
      <c r="E243" s="30"/>
      <c r="F243" s="30"/>
      <c r="G243" s="30"/>
      <c r="H243" s="30"/>
      <c r="I243" s="7"/>
      <c r="J243" s="7"/>
      <c r="K243" s="7"/>
      <c r="L243" s="7"/>
      <c r="M243" s="7"/>
      <c r="N243" s="7"/>
      <c r="O243" s="7"/>
      <c r="P243" s="7"/>
      <c r="Q243" s="7"/>
      <c r="R243" s="7"/>
      <c r="S243" s="7"/>
      <c r="T243" s="7"/>
      <c r="U243" s="7"/>
      <c r="V243" s="7"/>
      <c r="W243" s="7"/>
      <c r="X243" s="7"/>
      <c r="Y243" s="7"/>
      <c r="Z243" s="7"/>
    </row>
    <row r="244" spans="1:26" ht="15.75" customHeight="1">
      <c r="A244" s="7"/>
      <c r="B244" s="7"/>
      <c r="C244" s="29"/>
      <c r="D244" s="30"/>
      <c r="E244" s="30"/>
      <c r="F244" s="30"/>
      <c r="G244" s="30"/>
      <c r="H244" s="30"/>
      <c r="I244" s="7"/>
      <c r="J244" s="7"/>
      <c r="K244" s="7"/>
      <c r="L244" s="7"/>
      <c r="M244" s="7"/>
      <c r="N244" s="7"/>
      <c r="O244" s="7"/>
      <c r="P244" s="7"/>
      <c r="Q244" s="7"/>
      <c r="R244" s="7"/>
      <c r="S244" s="7"/>
      <c r="T244" s="7"/>
      <c r="U244" s="7"/>
      <c r="V244" s="7"/>
      <c r="W244" s="7"/>
      <c r="X244" s="7"/>
      <c r="Y244" s="7"/>
      <c r="Z244" s="7"/>
    </row>
    <row r="245" spans="1:26" ht="15.75" customHeight="1">
      <c r="A245" s="7"/>
      <c r="B245" s="7"/>
      <c r="C245" s="29"/>
      <c r="D245" s="30"/>
      <c r="E245" s="30"/>
      <c r="F245" s="30"/>
      <c r="G245" s="30"/>
      <c r="H245" s="30"/>
      <c r="I245" s="7"/>
      <c r="J245" s="7"/>
      <c r="K245" s="7"/>
      <c r="L245" s="7"/>
      <c r="M245" s="7"/>
      <c r="N245" s="7"/>
      <c r="O245" s="7"/>
      <c r="P245" s="7"/>
      <c r="Q245" s="7"/>
      <c r="R245" s="7"/>
      <c r="S245" s="7"/>
      <c r="T245" s="7"/>
      <c r="U245" s="7"/>
      <c r="V245" s="7"/>
      <c r="W245" s="7"/>
      <c r="X245" s="7"/>
      <c r="Y245" s="7"/>
      <c r="Z245" s="7"/>
    </row>
    <row r="246" spans="1:26" ht="15.75" customHeight="1">
      <c r="A246" s="7"/>
      <c r="B246" s="7"/>
      <c r="C246" s="29"/>
      <c r="D246" s="30"/>
      <c r="E246" s="30"/>
      <c r="F246" s="30"/>
      <c r="G246" s="30"/>
      <c r="H246" s="30"/>
      <c r="I246" s="7"/>
      <c r="J246" s="7"/>
      <c r="K246" s="7"/>
      <c r="L246" s="7"/>
      <c r="M246" s="7"/>
      <c r="N246" s="7"/>
      <c r="O246" s="7"/>
      <c r="P246" s="7"/>
      <c r="Q246" s="7"/>
      <c r="R246" s="7"/>
      <c r="S246" s="7"/>
      <c r="T246" s="7"/>
      <c r="U246" s="7"/>
      <c r="V246" s="7"/>
      <c r="W246" s="7"/>
      <c r="X246" s="7"/>
      <c r="Y246" s="7"/>
      <c r="Z246" s="7"/>
    </row>
    <row r="247" spans="1:26" ht="15.75" customHeight="1">
      <c r="A247" s="7"/>
      <c r="B247" s="7"/>
      <c r="C247" s="29"/>
      <c r="D247" s="30"/>
      <c r="E247" s="30"/>
      <c r="F247" s="30"/>
      <c r="G247" s="30"/>
      <c r="H247" s="30"/>
      <c r="I247" s="7"/>
      <c r="J247" s="7"/>
      <c r="K247" s="7"/>
      <c r="L247" s="7"/>
      <c r="M247" s="7"/>
      <c r="N247" s="7"/>
      <c r="O247" s="7"/>
      <c r="P247" s="7"/>
      <c r="Q247" s="7"/>
      <c r="R247" s="7"/>
      <c r="S247" s="7"/>
      <c r="T247" s="7"/>
      <c r="U247" s="7"/>
      <c r="V247" s="7"/>
      <c r="W247" s="7"/>
      <c r="X247" s="7"/>
      <c r="Y247" s="7"/>
      <c r="Z247" s="7"/>
    </row>
    <row r="248" spans="1:26" ht="15.75" customHeight="1">
      <c r="A248" s="7"/>
      <c r="B248" s="7"/>
      <c r="C248" s="29"/>
      <c r="D248" s="30"/>
      <c r="E248" s="30"/>
      <c r="F248" s="30"/>
      <c r="G248" s="30"/>
      <c r="H248" s="30"/>
      <c r="I248" s="7"/>
      <c r="J248" s="7"/>
      <c r="K248" s="7"/>
      <c r="L248" s="7"/>
      <c r="M248" s="7"/>
      <c r="N248" s="7"/>
      <c r="O248" s="7"/>
      <c r="P248" s="7"/>
      <c r="Q248" s="7"/>
      <c r="R248" s="7"/>
      <c r="S248" s="7"/>
      <c r="T248" s="7"/>
      <c r="U248" s="7"/>
      <c r="V248" s="7"/>
      <c r="W248" s="7"/>
      <c r="X248" s="7"/>
      <c r="Y248" s="7"/>
      <c r="Z248" s="7"/>
    </row>
    <row r="249" spans="1:26" ht="15.75" customHeight="1">
      <c r="A249" s="7"/>
      <c r="B249" s="7"/>
      <c r="C249" s="29"/>
      <c r="D249" s="30"/>
      <c r="E249" s="30"/>
      <c r="F249" s="30"/>
      <c r="G249" s="30"/>
      <c r="H249" s="30"/>
      <c r="I249" s="7"/>
      <c r="J249" s="7"/>
      <c r="K249" s="7"/>
      <c r="L249" s="7"/>
      <c r="M249" s="7"/>
      <c r="N249" s="7"/>
      <c r="O249" s="7"/>
      <c r="P249" s="7"/>
      <c r="Q249" s="7"/>
      <c r="R249" s="7"/>
      <c r="S249" s="7"/>
      <c r="T249" s="7"/>
      <c r="U249" s="7"/>
      <c r="V249" s="7"/>
      <c r="W249" s="7"/>
      <c r="X249" s="7"/>
      <c r="Y249" s="7"/>
      <c r="Z249" s="7"/>
    </row>
    <row r="250" spans="1:26" ht="15.75" customHeight="1">
      <c r="A250" s="7"/>
      <c r="B250" s="7"/>
      <c r="C250" s="29"/>
      <c r="D250" s="30"/>
      <c r="E250" s="30"/>
      <c r="F250" s="30"/>
      <c r="G250" s="30"/>
      <c r="H250" s="30"/>
      <c r="I250" s="7"/>
      <c r="J250" s="7"/>
      <c r="K250" s="7"/>
      <c r="L250" s="7"/>
      <c r="M250" s="7"/>
      <c r="N250" s="7"/>
      <c r="O250" s="7"/>
      <c r="P250" s="7"/>
      <c r="Q250" s="7"/>
      <c r="R250" s="7"/>
      <c r="S250" s="7"/>
      <c r="T250" s="7"/>
      <c r="U250" s="7"/>
      <c r="V250" s="7"/>
      <c r="W250" s="7"/>
      <c r="X250" s="7"/>
      <c r="Y250" s="7"/>
      <c r="Z250" s="7"/>
    </row>
    <row r="251" spans="1:26" ht="15.75" customHeight="1">
      <c r="A251" s="7"/>
      <c r="B251" s="7"/>
      <c r="C251" s="29"/>
      <c r="D251" s="30"/>
      <c r="E251" s="30"/>
      <c r="F251" s="30"/>
      <c r="G251" s="30"/>
      <c r="H251" s="30"/>
      <c r="I251" s="7"/>
      <c r="J251" s="7"/>
      <c r="K251" s="7"/>
      <c r="L251" s="7"/>
      <c r="M251" s="7"/>
      <c r="N251" s="7"/>
      <c r="O251" s="7"/>
      <c r="P251" s="7"/>
      <c r="Q251" s="7"/>
      <c r="R251" s="7"/>
      <c r="S251" s="7"/>
      <c r="T251" s="7"/>
      <c r="U251" s="7"/>
      <c r="V251" s="7"/>
      <c r="W251" s="7"/>
      <c r="X251" s="7"/>
      <c r="Y251" s="7"/>
      <c r="Z251" s="7"/>
    </row>
    <row r="252" spans="1:26" ht="15.75" customHeight="1">
      <c r="A252" s="7"/>
      <c r="B252" s="7"/>
      <c r="C252" s="29"/>
      <c r="D252" s="30"/>
      <c r="E252" s="30"/>
      <c r="F252" s="30"/>
      <c r="G252" s="30"/>
      <c r="H252" s="30"/>
      <c r="I252" s="7"/>
      <c r="J252" s="7"/>
      <c r="K252" s="7"/>
      <c r="L252" s="7"/>
      <c r="M252" s="7"/>
      <c r="N252" s="7"/>
      <c r="O252" s="7"/>
      <c r="P252" s="7"/>
      <c r="Q252" s="7"/>
      <c r="R252" s="7"/>
      <c r="S252" s="7"/>
      <c r="T252" s="7"/>
      <c r="U252" s="7"/>
      <c r="V252" s="7"/>
      <c r="W252" s="7"/>
      <c r="X252" s="7"/>
      <c r="Y252" s="7"/>
      <c r="Z252" s="7"/>
    </row>
    <row r="253" spans="1:26" ht="15.75" customHeight="1">
      <c r="A253" s="7"/>
      <c r="B253" s="7"/>
      <c r="C253" s="29"/>
      <c r="D253" s="30"/>
      <c r="E253" s="30"/>
      <c r="F253" s="30"/>
      <c r="G253" s="30"/>
      <c r="H253" s="30"/>
      <c r="I253" s="7"/>
      <c r="J253" s="7"/>
      <c r="K253" s="7"/>
      <c r="L253" s="7"/>
      <c r="M253" s="7"/>
      <c r="N253" s="7"/>
      <c r="O253" s="7"/>
      <c r="P253" s="7"/>
      <c r="Q253" s="7"/>
      <c r="R253" s="7"/>
      <c r="S253" s="7"/>
      <c r="T253" s="7"/>
      <c r="U253" s="7"/>
      <c r="V253" s="7"/>
      <c r="W253" s="7"/>
      <c r="X253" s="7"/>
      <c r="Y253" s="7"/>
      <c r="Z253" s="7"/>
    </row>
    <row r="254" spans="1:26" ht="15.75" customHeight="1">
      <c r="A254" s="7"/>
      <c r="B254" s="7"/>
      <c r="C254" s="29"/>
      <c r="D254" s="30"/>
      <c r="E254" s="30"/>
      <c r="F254" s="30"/>
      <c r="G254" s="30"/>
      <c r="H254" s="30"/>
      <c r="I254" s="7"/>
      <c r="J254" s="7"/>
      <c r="K254" s="7"/>
      <c r="L254" s="7"/>
      <c r="M254" s="7"/>
      <c r="N254" s="7"/>
      <c r="O254" s="7"/>
      <c r="P254" s="7"/>
      <c r="Q254" s="7"/>
      <c r="R254" s="7"/>
      <c r="S254" s="7"/>
      <c r="T254" s="7"/>
      <c r="U254" s="7"/>
      <c r="V254" s="7"/>
      <c r="W254" s="7"/>
      <c r="X254" s="7"/>
      <c r="Y254" s="7"/>
      <c r="Z254" s="7"/>
    </row>
    <row r="255" spans="1:26" ht="15.75" customHeight="1">
      <c r="A255" s="7"/>
      <c r="B255" s="7"/>
      <c r="C255" s="29"/>
      <c r="D255" s="30"/>
      <c r="E255" s="30"/>
      <c r="F255" s="30"/>
      <c r="G255" s="30"/>
      <c r="H255" s="30"/>
      <c r="I255" s="7"/>
      <c r="J255" s="7"/>
      <c r="K255" s="7"/>
      <c r="L255" s="7"/>
      <c r="M255" s="7"/>
      <c r="N255" s="7"/>
      <c r="O255" s="7"/>
      <c r="P255" s="7"/>
      <c r="Q255" s="7"/>
      <c r="R255" s="7"/>
      <c r="S255" s="7"/>
      <c r="T255" s="7"/>
      <c r="U255" s="7"/>
      <c r="V255" s="7"/>
      <c r="W255" s="7"/>
      <c r="X255" s="7"/>
      <c r="Y255" s="7"/>
      <c r="Z255" s="7"/>
    </row>
    <row r="256" spans="1:26" ht="15.75" customHeight="1">
      <c r="A256" s="7"/>
      <c r="B256" s="7"/>
      <c r="C256" s="29"/>
      <c r="D256" s="30"/>
      <c r="E256" s="30"/>
      <c r="F256" s="30"/>
      <c r="G256" s="30"/>
      <c r="H256" s="30"/>
      <c r="I256" s="7"/>
      <c r="J256" s="7"/>
      <c r="K256" s="7"/>
      <c r="L256" s="7"/>
      <c r="M256" s="7"/>
      <c r="N256" s="7"/>
      <c r="O256" s="7"/>
      <c r="P256" s="7"/>
      <c r="Q256" s="7"/>
      <c r="R256" s="7"/>
      <c r="S256" s="7"/>
      <c r="T256" s="7"/>
      <c r="U256" s="7"/>
      <c r="V256" s="7"/>
      <c r="W256" s="7"/>
      <c r="X256" s="7"/>
      <c r="Y256" s="7"/>
      <c r="Z256" s="7"/>
    </row>
    <row r="257" spans="1:26" ht="15.75" customHeight="1">
      <c r="A257" s="7"/>
      <c r="B257" s="7"/>
      <c r="C257" s="29"/>
      <c r="D257" s="30"/>
      <c r="E257" s="30"/>
      <c r="F257" s="30"/>
      <c r="G257" s="30"/>
      <c r="H257" s="30"/>
      <c r="I257" s="7"/>
      <c r="J257" s="7"/>
      <c r="K257" s="7"/>
      <c r="L257" s="7"/>
      <c r="M257" s="7"/>
      <c r="N257" s="7"/>
      <c r="O257" s="7"/>
      <c r="P257" s="7"/>
      <c r="Q257" s="7"/>
      <c r="R257" s="7"/>
      <c r="S257" s="7"/>
      <c r="T257" s="7"/>
      <c r="U257" s="7"/>
      <c r="V257" s="7"/>
      <c r="W257" s="7"/>
      <c r="X257" s="7"/>
      <c r="Y257" s="7"/>
      <c r="Z257" s="7"/>
    </row>
    <row r="258" spans="1:26" ht="15.75" customHeight="1">
      <c r="A258" s="7"/>
      <c r="B258" s="7"/>
      <c r="C258" s="29"/>
      <c r="D258" s="30"/>
      <c r="E258" s="30"/>
      <c r="F258" s="30"/>
      <c r="G258" s="30"/>
      <c r="H258" s="30"/>
      <c r="I258" s="7"/>
      <c r="J258" s="7"/>
      <c r="K258" s="7"/>
      <c r="L258" s="7"/>
      <c r="M258" s="7"/>
      <c r="N258" s="7"/>
      <c r="O258" s="7"/>
      <c r="P258" s="7"/>
      <c r="Q258" s="7"/>
      <c r="R258" s="7"/>
      <c r="S258" s="7"/>
      <c r="T258" s="7"/>
      <c r="U258" s="7"/>
      <c r="V258" s="7"/>
      <c r="W258" s="7"/>
      <c r="X258" s="7"/>
      <c r="Y258" s="7"/>
      <c r="Z258" s="7"/>
    </row>
    <row r="259" spans="1:26" ht="15.75" customHeight="1">
      <c r="A259" s="7"/>
      <c r="B259" s="7"/>
      <c r="C259" s="29"/>
      <c r="D259" s="30"/>
      <c r="E259" s="30"/>
      <c r="F259" s="30"/>
      <c r="G259" s="30"/>
      <c r="H259" s="30"/>
      <c r="I259" s="7"/>
      <c r="J259" s="7"/>
      <c r="K259" s="7"/>
      <c r="L259" s="7"/>
      <c r="M259" s="7"/>
      <c r="N259" s="7"/>
      <c r="O259" s="7"/>
      <c r="P259" s="7"/>
      <c r="Q259" s="7"/>
      <c r="R259" s="7"/>
      <c r="S259" s="7"/>
      <c r="T259" s="7"/>
      <c r="U259" s="7"/>
      <c r="V259" s="7"/>
      <c r="W259" s="7"/>
      <c r="X259" s="7"/>
      <c r="Y259" s="7"/>
      <c r="Z259" s="7"/>
    </row>
    <row r="260" spans="1:26" ht="15.75" customHeight="1">
      <c r="A260" s="7"/>
      <c r="B260" s="7"/>
      <c r="C260" s="29"/>
      <c r="D260" s="30"/>
      <c r="E260" s="30"/>
      <c r="F260" s="30"/>
      <c r="G260" s="30"/>
      <c r="H260" s="30"/>
      <c r="I260" s="7"/>
      <c r="J260" s="7"/>
      <c r="K260" s="7"/>
      <c r="L260" s="7"/>
      <c r="M260" s="7"/>
      <c r="N260" s="7"/>
      <c r="O260" s="7"/>
      <c r="P260" s="7"/>
      <c r="Q260" s="7"/>
      <c r="R260" s="7"/>
      <c r="S260" s="7"/>
      <c r="T260" s="7"/>
      <c r="U260" s="7"/>
      <c r="V260" s="7"/>
      <c r="W260" s="7"/>
      <c r="X260" s="7"/>
      <c r="Y260" s="7"/>
      <c r="Z260" s="7"/>
    </row>
    <row r="261" spans="1:26" ht="15.75" customHeight="1">
      <c r="A261" s="7"/>
      <c r="B261" s="7"/>
      <c r="C261" s="29"/>
      <c r="D261" s="30"/>
      <c r="E261" s="30"/>
      <c r="F261" s="30"/>
      <c r="G261" s="30"/>
      <c r="H261" s="30"/>
      <c r="I261" s="7"/>
      <c r="J261" s="7"/>
      <c r="K261" s="7"/>
      <c r="L261" s="7"/>
      <c r="M261" s="7"/>
      <c r="N261" s="7"/>
      <c r="O261" s="7"/>
      <c r="P261" s="7"/>
      <c r="Q261" s="7"/>
      <c r="R261" s="7"/>
      <c r="S261" s="7"/>
      <c r="T261" s="7"/>
      <c r="U261" s="7"/>
      <c r="V261" s="7"/>
      <c r="W261" s="7"/>
      <c r="X261" s="7"/>
      <c r="Y261" s="7"/>
      <c r="Z261" s="7"/>
    </row>
    <row r="262" spans="1:26" ht="15.75" customHeight="1">
      <c r="A262" s="7"/>
      <c r="B262" s="7"/>
      <c r="C262" s="29"/>
      <c r="D262" s="30"/>
      <c r="E262" s="30"/>
      <c r="F262" s="30"/>
      <c r="G262" s="30"/>
      <c r="H262" s="30"/>
      <c r="I262" s="7"/>
      <c r="J262" s="7"/>
      <c r="K262" s="7"/>
      <c r="L262" s="7"/>
      <c r="M262" s="7"/>
      <c r="N262" s="7"/>
      <c r="O262" s="7"/>
      <c r="P262" s="7"/>
      <c r="Q262" s="7"/>
      <c r="R262" s="7"/>
      <c r="S262" s="7"/>
      <c r="T262" s="7"/>
      <c r="U262" s="7"/>
      <c r="V262" s="7"/>
      <c r="W262" s="7"/>
      <c r="X262" s="7"/>
      <c r="Y262" s="7"/>
      <c r="Z262" s="7"/>
    </row>
    <row r="263" spans="1:26" ht="15.75" customHeight="1">
      <c r="A263" s="7"/>
      <c r="B263" s="7"/>
      <c r="C263" s="29"/>
      <c r="D263" s="30"/>
      <c r="E263" s="30"/>
      <c r="F263" s="30"/>
      <c r="G263" s="30"/>
      <c r="H263" s="30"/>
      <c r="I263" s="7"/>
      <c r="J263" s="7"/>
      <c r="K263" s="7"/>
      <c r="L263" s="7"/>
      <c r="M263" s="7"/>
      <c r="N263" s="7"/>
      <c r="O263" s="7"/>
      <c r="P263" s="7"/>
      <c r="Q263" s="7"/>
      <c r="R263" s="7"/>
      <c r="S263" s="7"/>
      <c r="T263" s="7"/>
      <c r="U263" s="7"/>
      <c r="V263" s="7"/>
      <c r="W263" s="7"/>
      <c r="X263" s="7"/>
      <c r="Y263" s="7"/>
      <c r="Z263" s="7"/>
    </row>
    <row r="264" spans="1:26" ht="15.75" customHeight="1">
      <c r="A264" s="7"/>
      <c r="B264" s="7"/>
      <c r="C264" s="29"/>
      <c r="D264" s="30"/>
      <c r="E264" s="30"/>
      <c r="F264" s="30"/>
      <c r="G264" s="30"/>
      <c r="H264" s="30"/>
      <c r="I264" s="7"/>
      <c r="J264" s="7"/>
      <c r="K264" s="7"/>
      <c r="L264" s="7"/>
      <c r="M264" s="7"/>
      <c r="N264" s="7"/>
      <c r="O264" s="7"/>
      <c r="P264" s="7"/>
      <c r="Q264" s="7"/>
      <c r="R264" s="7"/>
      <c r="S264" s="7"/>
      <c r="T264" s="7"/>
      <c r="U264" s="7"/>
      <c r="V264" s="7"/>
      <c r="W264" s="7"/>
      <c r="X264" s="7"/>
      <c r="Y264" s="7"/>
      <c r="Z264" s="7"/>
    </row>
    <row r="265" spans="1:26" ht="15.75" customHeight="1">
      <c r="A265" s="7"/>
      <c r="B265" s="7"/>
      <c r="C265" s="29"/>
      <c r="D265" s="30"/>
      <c r="E265" s="30"/>
      <c r="F265" s="30"/>
      <c r="G265" s="30"/>
      <c r="H265" s="30"/>
      <c r="I265" s="7"/>
      <c r="J265" s="7"/>
      <c r="K265" s="7"/>
      <c r="L265" s="7"/>
      <c r="M265" s="7"/>
      <c r="N265" s="7"/>
      <c r="O265" s="7"/>
      <c r="P265" s="7"/>
      <c r="Q265" s="7"/>
      <c r="R265" s="7"/>
      <c r="S265" s="7"/>
      <c r="T265" s="7"/>
      <c r="U265" s="7"/>
      <c r="V265" s="7"/>
      <c r="W265" s="7"/>
      <c r="X265" s="7"/>
      <c r="Y265" s="7"/>
      <c r="Z265" s="7"/>
    </row>
    <row r="266" spans="1:26" ht="15.75" customHeight="1">
      <c r="A266" s="7"/>
      <c r="B266" s="7"/>
      <c r="C266" s="29"/>
      <c r="D266" s="30"/>
      <c r="E266" s="30"/>
      <c r="F266" s="30"/>
      <c r="G266" s="30"/>
      <c r="H266" s="30"/>
      <c r="I266" s="7"/>
      <c r="J266" s="7"/>
      <c r="K266" s="7"/>
      <c r="L266" s="7"/>
      <c r="M266" s="7"/>
      <c r="N266" s="7"/>
      <c r="O266" s="7"/>
      <c r="P266" s="7"/>
      <c r="Q266" s="7"/>
      <c r="R266" s="7"/>
      <c r="S266" s="7"/>
      <c r="T266" s="7"/>
      <c r="U266" s="7"/>
      <c r="V266" s="7"/>
      <c r="W266" s="7"/>
      <c r="X266" s="7"/>
      <c r="Y266" s="7"/>
      <c r="Z266" s="7"/>
    </row>
    <row r="267" spans="1:26" ht="15.75" customHeight="1">
      <c r="A267" s="7"/>
      <c r="B267" s="7"/>
      <c r="C267" s="29"/>
      <c r="D267" s="30"/>
      <c r="E267" s="30"/>
      <c r="F267" s="30"/>
      <c r="G267" s="30"/>
      <c r="H267" s="30"/>
      <c r="I267" s="7"/>
      <c r="J267" s="7"/>
      <c r="K267" s="7"/>
      <c r="L267" s="7"/>
      <c r="M267" s="7"/>
      <c r="N267" s="7"/>
      <c r="O267" s="7"/>
      <c r="P267" s="7"/>
      <c r="Q267" s="7"/>
      <c r="R267" s="7"/>
      <c r="S267" s="7"/>
      <c r="T267" s="7"/>
      <c r="U267" s="7"/>
      <c r="V267" s="7"/>
      <c r="W267" s="7"/>
      <c r="X267" s="7"/>
      <c r="Y267" s="7"/>
      <c r="Z267" s="7"/>
    </row>
    <row r="268" spans="1:26" ht="15.75" customHeight="1">
      <c r="A268" s="7"/>
      <c r="B268" s="7"/>
      <c r="C268" s="29"/>
      <c r="D268" s="30"/>
      <c r="E268" s="30"/>
      <c r="F268" s="30"/>
      <c r="G268" s="30"/>
      <c r="H268" s="30"/>
      <c r="I268" s="7"/>
      <c r="J268" s="7"/>
      <c r="K268" s="7"/>
      <c r="L268" s="7"/>
      <c r="M268" s="7"/>
      <c r="N268" s="7"/>
      <c r="O268" s="7"/>
      <c r="P268" s="7"/>
      <c r="Q268" s="7"/>
      <c r="R268" s="7"/>
      <c r="S268" s="7"/>
      <c r="T268" s="7"/>
      <c r="U268" s="7"/>
      <c r="V268" s="7"/>
      <c r="W268" s="7"/>
      <c r="X268" s="7"/>
      <c r="Y268" s="7"/>
      <c r="Z268" s="7"/>
    </row>
    <row r="269" spans="1:26" ht="15.75" customHeight="1">
      <c r="A269" s="7"/>
      <c r="B269" s="7"/>
      <c r="C269" s="29"/>
      <c r="D269" s="30"/>
      <c r="E269" s="30"/>
      <c r="F269" s="30"/>
      <c r="G269" s="30"/>
      <c r="H269" s="30"/>
      <c r="I269" s="7"/>
      <c r="J269" s="7"/>
      <c r="K269" s="7"/>
      <c r="L269" s="7"/>
      <c r="M269" s="7"/>
      <c r="N269" s="7"/>
      <c r="O269" s="7"/>
      <c r="P269" s="7"/>
      <c r="Q269" s="7"/>
      <c r="R269" s="7"/>
      <c r="S269" s="7"/>
      <c r="T269" s="7"/>
      <c r="U269" s="7"/>
      <c r="V269" s="7"/>
      <c r="W269" s="7"/>
      <c r="X269" s="7"/>
      <c r="Y269" s="7"/>
      <c r="Z269" s="7"/>
    </row>
    <row r="270" spans="1:26" ht="15.75" customHeight="1">
      <c r="A270" s="7"/>
      <c r="B270" s="7"/>
      <c r="C270" s="29"/>
      <c r="D270" s="30"/>
      <c r="E270" s="30"/>
      <c r="F270" s="30"/>
      <c r="G270" s="30"/>
      <c r="H270" s="30"/>
      <c r="I270" s="7"/>
      <c r="J270" s="7"/>
      <c r="K270" s="7"/>
      <c r="L270" s="7"/>
      <c r="M270" s="7"/>
      <c r="N270" s="7"/>
      <c r="O270" s="7"/>
      <c r="P270" s="7"/>
      <c r="Q270" s="7"/>
      <c r="R270" s="7"/>
      <c r="S270" s="7"/>
      <c r="T270" s="7"/>
      <c r="U270" s="7"/>
      <c r="V270" s="7"/>
      <c r="W270" s="7"/>
      <c r="X270" s="7"/>
      <c r="Y270" s="7"/>
      <c r="Z270" s="7"/>
    </row>
    <row r="271" spans="1:26" ht="15.75" customHeight="1">
      <c r="A271" s="7"/>
      <c r="B271" s="7"/>
      <c r="C271" s="29"/>
      <c r="D271" s="30"/>
      <c r="E271" s="30"/>
      <c r="F271" s="30"/>
      <c r="G271" s="30"/>
      <c r="H271" s="30"/>
      <c r="I271" s="7"/>
      <c r="J271" s="7"/>
      <c r="K271" s="7"/>
      <c r="L271" s="7"/>
      <c r="M271" s="7"/>
      <c r="N271" s="7"/>
      <c r="O271" s="7"/>
      <c r="P271" s="7"/>
      <c r="Q271" s="7"/>
      <c r="R271" s="7"/>
      <c r="S271" s="7"/>
      <c r="T271" s="7"/>
      <c r="U271" s="7"/>
      <c r="V271" s="7"/>
      <c r="W271" s="7"/>
      <c r="X271" s="7"/>
      <c r="Y271" s="7"/>
      <c r="Z271" s="7"/>
    </row>
    <row r="272" spans="1:26" ht="15.75" customHeight="1">
      <c r="A272" s="7"/>
      <c r="B272" s="7"/>
      <c r="C272" s="29"/>
      <c r="D272" s="30"/>
      <c r="E272" s="30"/>
      <c r="F272" s="30"/>
      <c r="G272" s="30"/>
      <c r="H272" s="30"/>
      <c r="I272" s="7"/>
      <c r="J272" s="7"/>
      <c r="K272" s="7"/>
      <c r="L272" s="7"/>
      <c r="M272" s="7"/>
      <c r="N272" s="7"/>
      <c r="O272" s="7"/>
      <c r="P272" s="7"/>
      <c r="Q272" s="7"/>
      <c r="R272" s="7"/>
      <c r="S272" s="7"/>
      <c r="T272" s="7"/>
      <c r="U272" s="7"/>
      <c r="V272" s="7"/>
      <c r="W272" s="7"/>
      <c r="X272" s="7"/>
      <c r="Y272" s="7"/>
      <c r="Z272" s="7"/>
    </row>
    <row r="273" spans="1:26" ht="15.75" customHeight="1">
      <c r="A273" s="7"/>
      <c r="B273" s="7"/>
      <c r="C273" s="29"/>
      <c r="D273" s="30"/>
      <c r="E273" s="30"/>
      <c r="F273" s="30"/>
      <c r="G273" s="30"/>
      <c r="H273" s="30"/>
      <c r="I273" s="7"/>
      <c r="J273" s="7"/>
      <c r="K273" s="7"/>
      <c r="L273" s="7"/>
      <c r="M273" s="7"/>
      <c r="N273" s="7"/>
      <c r="O273" s="7"/>
      <c r="P273" s="7"/>
      <c r="Q273" s="7"/>
      <c r="R273" s="7"/>
      <c r="S273" s="7"/>
      <c r="T273" s="7"/>
      <c r="U273" s="7"/>
      <c r="V273" s="7"/>
      <c r="W273" s="7"/>
      <c r="X273" s="7"/>
      <c r="Y273" s="7"/>
      <c r="Z273" s="7"/>
    </row>
    <row r="274" spans="1:26" ht="15.75" customHeight="1">
      <c r="A274" s="7"/>
      <c r="B274" s="7"/>
      <c r="C274" s="29"/>
      <c r="D274" s="30"/>
      <c r="E274" s="30"/>
      <c r="F274" s="30"/>
      <c r="G274" s="30"/>
      <c r="H274" s="30"/>
      <c r="I274" s="7"/>
      <c r="J274" s="7"/>
      <c r="K274" s="7"/>
      <c r="L274" s="7"/>
      <c r="M274" s="7"/>
      <c r="N274" s="7"/>
      <c r="O274" s="7"/>
      <c r="P274" s="7"/>
      <c r="Q274" s="7"/>
      <c r="R274" s="7"/>
      <c r="S274" s="7"/>
      <c r="T274" s="7"/>
      <c r="U274" s="7"/>
      <c r="V274" s="7"/>
      <c r="W274" s="7"/>
      <c r="X274" s="7"/>
      <c r="Y274" s="7"/>
      <c r="Z274" s="7"/>
    </row>
    <row r="275" spans="1:26" ht="15.75" customHeight="1">
      <c r="A275" s="7"/>
      <c r="B275" s="7"/>
      <c r="C275" s="29"/>
      <c r="D275" s="30"/>
      <c r="E275" s="30"/>
      <c r="F275" s="30"/>
      <c r="G275" s="30"/>
      <c r="H275" s="30"/>
      <c r="I275" s="7"/>
      <c r="J275" s="7"/>
      <c r="K275" s="7"/>
      <c r="L275" s="7"/>
      <c r="M275" s="7"/>
      <c r="N275" s="7"/>
      <c r="O275" s="7"/>
      <c r="P275" s="7"/>
      <c r="Q275" s="7"/>
      <c r="R275" s="7"/>
      <c r="S275" s="7"/>
      <c r="T275" s="7"/>
      <c r="U275" s="7"/>
      <c r="V275" s="7"/>
      <c r="W275" s="7"/>
      <c r="X275" s="7"/>
      <c r="Y275" s="7"/>
      <c r="Z275" s="7"/>
    </row>
    <row r="276" spans="1:26" ht="15.75" customHeight="1">
      <c r="A276" s="7"/>
      <c r="B276" s="7"/>
      <c r="C276" s="29"/>
      <c r="D276" s="30"/>
      <c r="E276" s="30"/>
      <c r="F276" s="30"/>
      <c r="G276" s="30"/>
      <c r="H276" s="30"/>
      <c r="I276" s="7"/>
      <c r="J276" s="7"/>
      <c r="K276" s="7"/>
      <c r="L276" s="7"/>
      <c r="M276" s="7"/>
      <c r="N276" s="7"/>
      <c r="O276" s="7"/>
      <c r="P276" s="7"/>
      <c r="Q276" s="7"/>
      <c r="R276" s="7"/>
      <c r="S276" s="7"/>
      <c r="T276" s="7"/>
      <c r="U276" s="7"/>
      <c r="V276" s="7"/>
      <c r="W276" s="7"/>
      <c r="X276" s="7"/>
      <c r="Y276" s="7"/>
      <c r="Z276" s="7"/>
    </row>
    <row r="277" spans="1:26" ht="15.75" customHeight="1">
      <c r="A277" s="7"/>
      <c r="B277" s="7"/>
      <c r="C277" s="29"/>
      <c r="D277" s="30"/>
      <c r="E277" s="30"/>
      <c r="F277" s="30"/>
      <c r="G277" s="30"/>
      <c r="H277" s="30"/>
      <c r="I277" s="7"/>
      <c r="J277" s="7"/>
      <c r="K277" s="7"/>
      <c r="L277" s="7"/>
      <c r="M277" s="7"/>
      <c r="N277" s="7"/>
      <c r="O277" s="7"/>
      <c r="P277" s="7"/>
      <c r="Q277" s="7"/>
      <c r="R277" s="7"/>
      <c r="S277" s="7"/>
      <c r="T277" s="7"/>
      <c r="U277" s="7"/>
      <c r="V277" s="7"/>
      <c r="W277" s="7"/>
      <c r="X277" s="7"/>
      <c r="Y277" s="7"/>
      <c r="Z277" s="7"/>
    </row>
    <row r="278" spans="1:26" ht="15.75" customHeight="1">
      <c r="A278" s="7"/>
      <c r="B278" s="7"/>
      <c r="C278" s="29"/>
      <c r="D278" s="30"/>
      <c r="E278" s="30"/>
      <c r="F278" s="30"/>
      <c r="G278" s="30"/>
      <c r="H278" s="30"/>
      <c r="I278" s="7"/>
      <c r="J278" s="7"/>
      <c r="K278" s="7"/>
      <c r="L278" s="7"/>
      <c r="M278" s="7"/>
      <c r="N278" s="7"/>
      <c r="O278" s="7"/>
      <c r="P278" s="7"/>
      <c r="Q278" s="7"/>
      <c r="R278" s="7"/>
      <c r="S278" s="7"/>
      <c r="T278" s="7"/>
      <c r="U278" s="7"/>
      <c r="V278" s="7"/>
      <c r="W278" s="7"/>
      <c r="X278" s="7"/>
      <c r="Y278" s="7"/>
      <c r="Z278" s="7"/>
    </row>
    <row r="279" spans="1:26" ht="15.75" customHeight="1">
      <c r="A279" s="7"/>
      <c r="B279" s="7"/>
      <c r="C279" s="29"/>
      <c r="D279" s="30"/>
      <c r="E279" s="30"/>
      <c r="F279" s="30"/>
      <c r="G279" s="30"/>
      <c r="H279" s="30"/>
      <c r="I279" s="7"/>
      <c r="J279" s="7"/>
      <c r="K279" s="7"/>
      <c r="L279" s="7"/>
      <c r="M279" s="7"/>
      <c r="N279" s="7"/>
      <c r="O279" s="7"/>
      <c r="P279" s="7"/>
      <c r="Q279" s="7"/>
      <c r="R279" s="7"/>
      <c r="S279" s="7"/>
      <c r="T279" s="7"/>
      <c r="U279" s="7"/>
      <c r="V279" s="7"/>
      <c r="W279" s="7"/>
      <c r="X279" s="7"/>
      <c r="Y279" s="7"/>
      <c r="Z279" s="7"/>
    </row>
    <row r="280" spans="1:26" ht="15.75" customHeight="1">
      <c r="A280" s="7"/>
      <c r="B280" s="7"/>
      <c r="C280" s="29"/>
      <c r="D280" s="30"/>
      <c r="E280" s="30"/>
      <c r="F280" s="30"/>
      <c r="G280" s="30"/>
      <c r="H280" s="30"/>
      <c r="I280" s="7"/>
      <c r="J280" s="7"/>
      <c r="K280" s="7"/>
      <c r="L280" s="7"/>
      <c r="M280" s="7"/>
      <c r="N280" s="7"/>
      <c r="O280" s="7"/>
      <c r="P280" s="7"/>
      <c r="Q280" s="7"/>
      <c r="R280" s="7"/>
      <c r="S280" s="7"/>
      <c r="T280" s="7"/>
      <c r="U280" s="7"/>
      <c r="V280" s="7"/>
      <c r="W280" s="7"/>
      <c r="X280" s="7"/>
      <c r="Y280" s="7"/>
      <c r="Z280" s="7"/>
    </row>
    <row r="281" spans="1:26" ht="15.75" customHeight="1"/>
    <row r="282" spans="1:26" ht="15.75" customHeight="1"/>
    <row r="283" spans="1:26" ht="15.75" customHeight="1"/>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9">
    <mergeCell ref="N69:Q69"/>
    <mergeCell ref="N76:V78"/>
    <mergeCell ref="N79:V81"/>
    <mergeCell ref="D2:H2"/>
    <mergeCell ref="I2:M2"/>
    <mergeCell ref="N9:Z9"/>
    <mergeCell ref="C40:D40"/>
    <mergeCell ref="C48:D48"/>
    <mergeCell ref="N61:V63"/>
  </mergeCells>
  <hyperlinks>
    <hyperlink ref="Q64" r:id="rId1" xr:uid="{00000000-0004-0000-0200-000000000000}"/>
    <hyperlink ref="R64" r:id="rId2" xr:uid="{00000000-0004-0000-0200-000001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73"/>
  <sheetViews>
    <sheetView showGridLines="0" workbookViewId="0">
      <pane ySplit="3" topLeftCell="A28" activePane="bottomLeft" state="frozen"/>
      <selection pane="bottomLeft" activeCell="H58" sqref="H58"/>
    </sheetView>
  </sheetViews>
  <sheetFormatPr defaultColWidth="10.1796875" defaultRowHeight="15" customHeight="1"/>
  <cols>
    <col min="1" max="1" width="2.54296875" customWidth="1"/>
    <col min="2" max="2" width="40.453125" customWidth="1"/>
  </cols>
  <sheetData>
    <row r="1" spans="1:26" ht="15" customHeight="1">
      <c r="A1" s="5" t="s">
        <v>201</v>
      </c>
      <c r="B1" s="7"/>
      <c r="C1" s="29"/>
      <c r="D1" s="30"/>
      <c r="E1" s="30"/>
      <c r="F1" s="30"/>
      <c r="G1" s="30"/>
      <c r="H1" s="30"/>
      <c r="I1" s="7"/>
      <c r="J1" s="7"/>
      <c r="K1" s="7"/>
      <c r="L1" s="7"/>
      <c r="M1" s="7"/>
      <c r="N1" s="7"/>
      <c r="O1" s="7"/>
      <c r="P1" s="7"/>
      <c r="Q1" s="7"/>
      <c r="R1" s="7"/>
      <c r="S1" s="7"/>
      <c r="T1" s="7"/>
      <c r="U1" s="7"/>
      <c r="V1" s="7"/>
      <c r="W1" s="7"/>
      <c r="X1" s="7"/>
      <c r="Y1" s="7"/>
      <c r="Z1" s="7"/>
    </row>
    <row r="2" spans="1:26" ht="15" customHeight="1">
      <c r="A2" s="31"/>
      <c r="B2" s="31"/>
      <c r="C2" s="32"/>
      <c r="D2" s="591" t="s">
        <v>48</v>
      </c>
      <c r="E2" s="592"/>
      <c r="F2" s="592"/>
      <c r="G2" s="592"/>
      <c r="H2" s="593"/>
      <c r="I2" s="591" t="s">
        <v>49</v>
      </c>
      <c r="J2" s="592"/>
      <c r="K2" s="592"/>
      <c r="L2" s="592"/>
      <c r="M2" s="593"/>
      <c r="N2" s="7"/>
      <c r="O2" s="7"/>
      <c r="P2" s="7"/>
      <c r="Q2" s="7"/>
      <c r="R2" s="7"/>
      <c r="S2" s="7"/>
      <c r="T2" s="7"/>
      <c r="U2" s="7"/>
      <c r="V2" s="7"/>
      <c r="W2" s="7"/>
      <c r="X2" s="7"/>
      <c r="Y2" s="7"/>
      <c r="Z2" s="7"/>
    </row>
    <row r="3" spans="1:26">
      <c r="A3" s="134" t="s">
        <v>202</v>
      </c>
      <c r="B3" s="35"/>
      <c r="C3" s="36" t="s">
        <v>51</v>
      </c>
      <c r="D3" s="37" t="s">
        <v>17</v>
      </c>
      <c r="E3" s="37" t="s">
        <v>18</v>
      </c>
      <c r="F3" s="37" t="s">
        <v>19</v>
      </c>
      <c r="G3" s="37" t="s">
        <v>20</v>
      </c>
      <c r="H3" s="37" t="s">
        <v>21</v>
      </c>
      <c r="I3" s="38" t="s">
        <v>22</v>
      </c>
      <c r="J3" s="39" t="s">
        <v>23</v>
      </c>
      <c r="K3" s="39" t="s">
        <v>24</v>
      </c>
      <c r="L3" s="39" t="s">
        <v>25</v>
      </c>
      <c r="M3" s="39" t="s">
        <v>26</v>
      </c>
      <c r="N3" s="7"/>
      <c r="O3" s="7"/>
      <c r="P3" s="7"/>
      <c r="Q3" s="7"/>
      <c r="R3" s="7"/>
      <c r="S3" s="7"/>
      <c r="T3" s="7"/>
      <c r="U3" s="7"/>
      <c r="V3" s="7"/>
      <c r="W3" s="7"/>
      <c r="X3" s="7"/>
      <c r="Y3" s="7"/>
      <c r="Z3" s="7"/>
    </row>
    <row r="4" spans="1:26" ht="15" customHeight="1">
      <c r="A4" s="7"/>
      <c r="B4" s="7"/>
      <c r="C4" s="29"/>
      <c r="D4" s="30"/>
      <c r="E4" s="30"/>
      <c r="F4" s="30"/>
      <c r="G4" s="30"/>
      <c r="H4" s="30"/>
      <c r="I4" s="53"/>
      <c r="J4" s="30"/>
      <c r="K4" s="30"/>
      <c r="L4" s="30"/>
      <c r="M4" s="30"/>
      <c r="N4" s="7"/>
      <c r="O4" s="7"/>
      <c r="P4" s="7"/>
      <c r="Q4" s="7"/>
      <c r="R4" s="7"/>
      <c r="S4" s="7"/>
      <c r="T4" s="7"/>
      <c r="U4" s="7"/>
      <c r="V4" s="7"/>
      <c r="W4" s="7"/>
      <c r="X4" s="7"/>
      <c r="Y4" s="7"/>
      <c r="Z4" s="7"/>
    </row>
    <row r="5" spans="1:26">
      <c r="A5" s="7"/>
      <c r="B5" s="45" t="s">
        <v>27</v>
      </c>
      <c r="C5" s="46" t="s">
        <v>53</v>
      </c>
      <c r="D5" s="47">
        <f>'Income Assumptions'!F5</f>
        <v>200228.976</v>
      </c>
      <c r="E5" s="47">
        <f>'Income Assumptions'!G5</f>
        <v>217981.22500000003</v>
      </c>
      <c r="F5" s="47">
        <f>'Income Assumptions'!H5</f>
        <v>231090.60399999999</v>
      </c>
      <c r="G5" s="47">
        <f>'Income Assumptions'!I5</f>
        <v>241981.054</v>
      </c>
      <c r="H5" s="47">
        <f>'Income Assumptions'!J5</f>
        <v>242173.28700000001</v>
      </c>
      <c r="I5" s="123">
        <f>'Income Assumptions'!K5</f>
        <v>247698.17407615317</v>
      </c>
      <c r="J5" s="56">
        <f>'Income Assumptions'!L5</f>
        <v>254065.02382510222</v>
      </c>
      <c r="K5" s="56">
        <f>'Income Assumptions'!M5</f>
        <v>260828.83061416645</v>
      </c>
      <c r="L5" s="56">
        <f>'Income Assumptions'!N5</f>
        <v>267310.8264958997</v>
      </c>
      <c r="M5" s="56">
        <f>'Income Assumptions'!O5</f>
        <v>274156.61678996094</v>
      </c>
      <c r="N5" s="7"/>
      <c r="O5" s="7"/>
      <c r="P5" s="7"/>
      <c r="Q5" s="7"/>
      <c r="R5" s="7"/>
      <c r="S5" s="7"/>
      <c r="T5" s="7"/>
      <c r="U5" s="7"/>
      <c r="V5" s="7"/>
      <c r="W5" s="7"/>
      <c r="X5" s="7"/>
      <c r="Y5" s="7"/>
      <c r="Z5" s="7"/>
    </row>
    <row r="6" spans="1:26" ht="15" customHeight="1">
      <c r="A6" s="7"/>
      <c r="B6" s="49" t="s">
        <v>54</v>
      </c>
      <c r="C6" s="29" t="s">
        <v>55</v>
      </c>
      <c r="D6" s="50" t="s">
        <v>56</v>
      </c>
      <c r="E6" s="50">
        <f t="shared" ref="E6:H6" si="0">E5/D5-1</f>
        <v>8.8659740236598061E-2</v>
      </c>
      <c r="F6" s="50">
        <f t="shared" si="0"/>
        <v>6.0139945538887352E-2</v>
      </c>
      <c r="G6" s="50">
        <f t="shared" si="0"/>
        <v>4.7126321068423849E-2</v>
      </c>
      <c r="H6" s="50">
        <f t="shared" si="0"/>
        <v>7.9441343370634243E-4</v>
      </c>
      <c r="I6" s="51">
        <f t="shared" ref="I6:M6" si="1">(I5/H5)-1</f>
        <v>2.2813775807375203E-2</v>
      </c>
      <c r="J6" s="212">
        <f t="shared" si="1"/>
        <v>2.5704064120358083E-2</v>
      </c>
      <c r="K6" s="212">
        <f t="shared" si="1"/>
        <v>2.662234528480556E-2</v>
      </c>
      <c r="L6" s="212">
        <f t="shared" si="1"/>
        <v>2.4851531429521234E-2</v>
      </c>
      <c r="M6" s="212">
        <f t="shared" si="1"/>
        <v>2.5609850464347828E-2</v>
      </c>
      <c r="N6" s="7"/>
      <c r="O6" s="7"/>
      <c r="P6" s="7"/>
      <c r="Q6" s="7"/>
      <c r="R6" s="7"/>
      <c r="S6" s="7"/>
      <c r="T6" s="7"/>
      <c r="U6" s="7"/>
      <c r="V6" s="7"/>
      <c r="W6" s="7"/>
      <c r="X6" s="7"/>
      <c r="Y6" s="7"/>
      <c r="Z6" s="7"/>
    </row>
    <row r="7" spans="1:26" ht="15" customHeight="1">
      <c r="A7" s="7"/>
      <c r="B7" s="5"/>
      <c r="C7" s="29"/>
      <c r="D7" s="30"/>
      <c r="E7" s="30"/>
      <c r="F7" s="30"/>
      <c r="G7" s="30"/>
      <c r="H7" s="30"/>
      <c r="I7" s="53"/>
      <c r="J7" s="30"/>
      <c r="K7" s="30"/>
      <c r="L7" s="30"/>
      <c r="M7" s="30"/>
      <c r="N7" s="7"/>
      <c r="O7" s="7"/>
      <c r="P7" s="7"/>
      <c r="Q7" s="7"/>
      <c r="R7" s="7"/>
      <c r="S7" s="7"/>
      <c r="T7" s="7"/>
      <c r="U7" s="7"/>
      <c r="V7" s="7"/>
      <c r="W7" s="7"/>
      <c r="X7" s="7"/>
      <c r="Y7" s="7"/>
      <c r="Z7" s="7"/>
    </row>
    <row r="8" spans="1:26" ht="15" customHeight="1">
      <c r="A8" s="7"/>
      <c r="B8" s="7" t="s">
        <v>91</v>
      </c>
      <c r="C8" s="29" t="s">
        <v>53</v>
      </c>
      <c r="D8" s="20">
        <f>'Income Assumptions'!F54</f>
        <v>34632.427000000003</v>
      </c>
      <c r="E8" s="20">
        <f>'Income Assumptions'!G54</f>
        <v>33717.711000000003</v>
      </c>
      <c r="F8" s="20">
        <f>'Income Assumptions'!H54</f>
        <v>30969.614000000001</v>
      </c>
      <c r="G8" s="20">
        <f>'Income Assumptions'!I54</f>
        <v>31387.344000000001</v>
      </c>
      <c r="H8" s="20">
        <f>'Income Assumptions'!J54</f>
        <v>25023.094000000001</v>
      </c>
      <c r="I8" s="192">
        <f>'Income Assumptions'!K54</f>
        <v>26008.308277996082</v>
      </c>
      <c r="J8" s="103">
        <f>'Income Assumptions'!L54</f>
        <v>26676.827501635733</v>
      </c>
      <c r="K8" s="103">
        <f>'Income Assumptions'!M54</f>
        <v>27387.027214487476</v>
      </c>
      <c r="L8" s="103">
        <f>'Income Assumptions'!N54</f>
        <v>28067.636782069469</v>
      </c>
      <c r="M8" s="103">
        <f>'Income Assumptions'!O54</f>
        <v>28786.444762945899</v>
      </c>
      <c r="N8" s="7"/>
      <c r="O8" s="7"/>
      <c r="P8" s="7"/>
      <c r="Q8" s="7"/>
      <c r="R8" s="7"/>
      <c r="S8" s="7"/>
      <c r="T8" s="7"/>
      <c r="U8" s="7"/>
      <c r="V8" s="7"/>
      <c r="W8" s="7"/>
      <c r="X8" s="7"/>
      <c r="Y8" s="7"/>
      <c r="Z8" s="7"/>
    </row>
    <row r="9" spans="1:26" ht="15" customHeight="1">
      <c r="A9" s="7"/>
      <c r="B9" s="49"/>
      <c r="C9" s="29"/>
      <c r="D9" s="106"/>
      <c r="E9" s="106"/>
      <c r="F9" s="106"/>
      <c r="G9" s="106"/>
      <c r="H9" s="106"/>
      <c r="I9" s="107"/>
      <c r="J9" s="106"/>
      <c r="K9" s="106"/>
      <c r="L9" s="106"/>
      <c r="M9" s="106"/>
      <c r="N9" s="7"/>
      <c r="O9" s="7"/>
      <c r="P9" s="7"/>
      <c r="Q9" s="7"/>
      <c r="R9" s="7"/>
      <c r="S9" s="7"/>
      <c r="T9" s="7"/>
      <c r="U9" s="7"/>
      <c r="V9" s="7"/>
      <c r="W9" s="7"/>
      <c r="X9" s="7"/>
      <c r="Y9" s="7"/>
      <c r="Z9" s="7"/>
    </row>
    <row r="10" spans="1:26">
      <c r="A10" s="7"/>
      <c r="B10" s="14" t="s">
        <v>203</v>
      </c>
      <c r="C10" s="55" t="s">
        <v>53</v>
      </c>
      <c r="D10" s="57">
        <f t="shared" ref="D10:M10" si="2">D5-D8</f>
        <v>165596.549</v>
      </c>
      <c r="E10" s="57">
        <f t="shared" si="2"/>
        <v>184263.51400000002</v>
      </c>
      <c r="F10" s="57">
        <f t="shared" si="2"/>
        <v>200120.99</v>
      </c>
      <c r="G10" s="57">
        <f t="shared" si="2"/>
        <v>210593.71</v>
      </c>
      <c r="H10" s="57">
        <f t="shared" si="2"/>
        <v>217150.193</v>
      </c>
      <c r="I10" s="94">
        <f t="shared" si="2"/>
        <v>221689.86579815709</v>
      </c>
      <c r="J10" s="57">
        <f t="shared" si="2"/>
        <v>227388.19632346649</v>
      </c>
      <c r="K10" s="57">
        <f t="shared" si="2"/>
        <v>233441.80339967896</v>
      </c>
      <c r="L10" s="57">
        <f t="shared" si="2"/>
        <v>239243.18971383024</v>
      </c>
      <c r="M10" s="57">
        <f t="shared" si="2"/>
        <v>245370.17202701504</v>
      </c>
      <c r="N10" s="7"/>
      <c r="O10" s="7"/>
      <c r="P10" s="7"/>
      <c r="Q10" s="7"/>
      <c r="R10" s="7"/>
      <c r="S10" s="7"/>
      <c r="T10" s="7"/>
      <c r="U10" s="7"/>
      <c r="V10" s="7"/>
      <c r="W10" s="7"/>
      <c r="X10" s="7"/>
      <c r="Y10" s="7"/>
      <c r="Z10" s="7"/>
    </row>
    <row r="11" spans="1:26" ht="15" customHeight="1">
      <c r="A11" s="7"/>
      <c r="B11" s="49" t="s">
        <v>94</v>
      </c>
      <c r="C11" s="29" t="s">
        <v>53</v>
      </c>
      <c r="D11" s="106">
        <f t="shared" ref="D11:M11" si="3">D10/D5</f>
        <v>0.82703588815237217</v>
      </c>
      <c r="E11" s="106">
        <f t="shared" si="3"/>
        <v>0.84531827913160873</v>
      </c>
      <c r="F11" s="106">
        <f t="shared" si="3"/>
        <v>0.86598497098566585</v>
      </c>
      <c r="G11" s="106">
        <f t="shared" si="3"/>
        <v>0.87029007651152712</v>
      </c>
      <c r="H11" s="106">
        <f t="shared" si="3"/>
        <v>0.89667277382249011</v>
      </c>
      <c r="I11" s="107">
        <f t="shared" si="3"/>
        <v>0.89500000000000002</v>
      </c>
      <c r="J11" s="106">
        <f t="shared" si="3"/>
        <v>0.89500000000000002</v>
      </c>
      <c r="K11" s="106">
        <f t="shared" si="3"/>
        <v>0.89499999999999991</v>
      </c>
      <c r="L11" s="106">
        <f t="shared" si="3"/>
        <v>0.89500000000000002</v>
      </c>
      <c r="M11" s="106">
        <f t="shared" si="3"/>
        <v>0.89500000000000002</v>
      </c>
      <c r="N11" s="213"/>
      <c r="O11" s="213"/>
      <c r="P11" s="213"/>
      <c r="Q11" s="7"/>
      <c r="R11" s="7"/>
      <c r="S11" s="7"/>
      <c r="T11" s="7"/>
      <c r="U11" s="7"/>
      <c r="V11" s="7"/>
      <c r="W11" s="7"/>
      <c r="X11" s="7"/>
      <c r="Y11" s="7"/>
      <c r="Z11" s="7"/>
    </row>
    <row r="12" spans="1:26" ht="15" customHeight="1">
      <c r="A12" s="7"/>
      <c r="B12" s="49" t="s">
        <v>59</v>
      </c>
      <c r="C12" s="55" t="s">
        <v>55</v>
      </c>
      <c r="D12" s="106" t="s">
        <v>56</v>
      </c>
      <c r="E12" s="106">
        <f t="shared" ref="E12:M12" si="4">(E10/D10)-1</f>
        <v>0.11272556772907172</v>
      </c>
      <c r="F12" s="106">
        <f t="shared" si="4"/>
        <v>8.6058686582955124E-2</v>
      </c>
      <c r="G12" s="106">
        <f t="shared" si="4"/>
        <v>5.2331941791813108E-2</v>
      </c>
      <c r="H12" s="106">
        <f t="shared" si="4"/>
        <v>3.1133327771280639E-2</v>
      </c>
      <c r="I12" s="107">
        <f t="shared" si="4"/>
        <v>2.0905681618054395E-2</v>
      </c>
      <c r="J12" s="106">
        <f t="shared" si="4"/>
        <v>2.5704064120358083E-2</v>
      </c>
      <c r="K12" s="106">
        <f t="shared" si="4"/>
        <v>2.662234528480556E-2</v>
      </c>
      <c r="L12" s="106">
        <f t="shared" si="4"/>
        <v>2.4851531429521456E-2</v>
      </c>
      <c r="M12" s="106">
        <f t="shared" si="4"/>
        <v>2.5609850464347828E-2</v>
      </c>
      <c r="N12" s="213"/>
      <c r="O12" s="213"/>
      <c r="P12" s="213"/>
      <c r="Q12" s="7"/>
      <c r="R12" s="7"/>
      <c r="S12" s="7"/>
      <c r="T12" s="7"/>
      <c r="U12" s="7"/>
      <c r="V12" s="7"/>
      <c r="W12" s="7"/>
      <c r="X12" s="7"/>
      <c r="Y12" s="7"/>
      <c r="Z12" s="7"/>
    </row>
    <row r="13" spans="1:26" ht="15" customHeight="1">
      <c r="A13" s="7"/>
      <c r="B13" s="7"/>
      <c r="C13" s="29"/>
      <c r="D13" s="30"/>
      <c r="E13" s="30"/>
      <c r="F13" s="30"/>
      <c r="G13" s="30"/>
      <c r="H13" s="30"/>
      <c r="I13" s="53"/>
      <c r="J13" s="30"/>
      <c r="K13" s="30"/>
      <c r="L13" s="30"/>
      <c r="M13" s="30"/>
      <c r="N13" s="213"/>
      <c r="O13" s="213"/>
      <c r="P13" s="213"/>
      <c r="Q13" s="7"/>
      <c r="R13" s="7"/>
      <c r="S13" s="7"/>
      <c r="T13" s="7"/>
      <c r="U13" s="7"/>
      <c r="V13" s="7"/>
      <c r="W13" s="7"/>
      <c r="X13" s="7"/>
      <c r="Y13" s="7"/>
      <c r="Z13" s="7"/>
    </row>
    <row r="14" spans="1:26" ht="15" customHeight="1">
      <c r="A14" s="7"/>
      <c r="B14" s="14" t="s">
        <v>204</v>
      </c>
      <c r="C14" s="29"/>
      <c r="D14" s="30"/>
      <c r="E14" s="30"/>
      <c r="F14" s="30"/>
      <c r="G14" s="30"/>
      <c r="H14" s="30"/>
      <c r="I14" s="53"/>
      <c r="J14" s="30"/>
      <c r="K14" s="30"/>
      <c r="L14" s="30"/>
      <c r="M14" s="30"/>
      <c r="N14" s="213"/>
      <c r="O14" s="213"/>
      <c r="P14" s="213"/>
      <c r="Q14" s="7"/>
      <c r="R14" s="7"/>
      <c r="S14" s="7"/>
      <c r="T14" s="7"/>
      <c r="U14" s="7"/>
      <c r="V14" s="7"/>
      <c r="W14" s="7"/>
      <c r="X14" s="7"/>
      <c r="Y14" s="7"/>
      <c r="Z14" s="7"/>
    </row>
    <row r="15" spans="1:26" ht="15" customHeight="1">
      <c r="A15" s="7"/>
      <c r="B15" s="16" t="s">
        <v>102</v>
      </c>
      <c r="C15" s="29" t="s">
        <v>53</v>
      </c>
      <c r="D15" s="190">
        <f>'Income Assumptions'!F69</f>
        <v>31864.811000000002</v>
      </c>
      <c r="E15" s="190">
        <f>'Income Assumptions'!G69</f>
        <v>28029.736000000001</v>
      </c>
      <c r="F15" s="190">
        <f>'Income Assumptions'!H69</f>
        <v>29728.655999999999</v>
      </c>
      <c r="G15" s="190">
        <f>'Income Assumptions'!I69</f>
        <v>27285.992999999999</v>
      </c>
      <c r="H15" s="190">
        <f>'Income Assumptions'!J69</f>
        <v>27459.914000000001</v>
      </c>
      <c r="I15" s="192">
        <f>'Income Assumptions'!K69</f>
        <v>28283.71142</v>
      </c>
      <c r="J15" s="103">
        <f>'Income Assumptions'!L69</f>
        <v>29132.222762600002</v>
      </c>
      <c r="K15" s="103">
        <f>'Income Assumptions'!M69</f>
        <v>30006.189445478001</v>
      </c>
      <c r="L15" s="103">
        <f>'Income Assumptions'!N69</f>
        <v>30906.375128842341</v>
      </c>
      <c r="M15" s="103">
        <f>'Income Assumptions'!O69</f>
        <v>31833.566382707613</v>
      </c>
      <c r="N15" s="213"/>
      <c r="O15" s="213"/>
      <c r="P15" s="213"/>
      <c r="Q15" s="7"/>
      <c r="R15" s="7"/>
      <c r="S15" s="7"/>
      <c r="T15" s="7"/>
      <c r="U15" s="7"/>
      <c r="V15" s="7"/>
      <c r="W15" s="7"/>
      <c r="X15" s="7"/>
      <c r="Y15" s="7"/>
      <c r="Z15" s="7"/>
    </row>
    <row r="16" spans="1:26" ht="15" customHeight="1">
      <c r="A16" s="7"/>
      <c r="B16" s="16" t="s">
        <v>105</v>
      </c>
      <c r="C16" s="29" t="s">
        <v>53</v>
      </c>
      <c r="D16" s="190">
        <f>'Income Assumptions'!F73</f>
        <v>17710.155999999999</v>
      </c>
      <c r="E16" s="190">
        <f>'Income Assumptions'!G73</f>
        <v>18364.488000000001</v>
      </c>
      <c r="F16" s="190">
        <f>'Income Assumptions'!H73</f>
        <v>19063.713</v>
      </c>
      <c r="G16" s="190">
        <f>'Income Assumptions'!I73</f>
        <v>23382.357</v>
      </c>
      <c r="H16" s="190">
        <f>'Income Assumptions'!J73</f>
        <v>24950.791000000001</v>
      </c>
      <c r="I16" s="192">
        <f>'Income Assumptions'!K73</f>
        <v>25449.806820000002</v>
      </c>
      <c r="J16" s="103">
        <f>'Income Assumptions'!L73</f>
        <v>25958.802956400003</v>
      </c>
      <c r="K16" s="103">
        <f>'Income Assumptions'!M73</f>
        <v>26477.979015528002</v>
      </c>
      <c r="L16" s="103">
        <f>'Income Assumptions'!N73</f>
        <v>27007.538595838563</v>
      </c>
      <c r="M16" s="103">
        <f>'Income Assumptions'!O73</f>
        <v>27547.689367755334</v>
      </c>
      <c r="N16" s="213"/>
      <c r="O16" s="213"/>
      <c r="P16" s="213"/>
      <c r="Q16" s="7"/>
      <c r="R16" s="7"/>
      <c r="S16" s="7"/>
      <c r="T16" s="7"/>
      <c r="U16" s="7"/>
      <c r="V16" s="7"/>
      <c r="W16" s="7"/>
      <c r="X16" s="7"/>
      <c r="Y16" s="7"/>
      <c r="Z16" s="7"/>
    </row>
    <row r="17" spans="1:26" ht="15" customHeight="1">
      <c r="A17" s="7"/>
      <c r="B17" s="16" t="s">
        <v>107</v>
      </c>
      <c r="C17" s="29" t="s">
        <v>53</v>
      </c>
      <c r="D17" s="190">
        <f>'Income Assumptions'!F77</f>
        <v>17913.496999999999</v>
      </c>
      <c r="E17" s="190">
        <f>'Income Assumptions'!G77</f>
        <v>18123.349999999999</v>
      </c>
      <c r="F17" s="190">
        <f>'Income Assumptions'!H77</f>
        <v>17204.423999999999</v>
      </c>
      <c r="G17" s="190">
        <f>'Income Assumptions'!I77</f>
        <v>17788.315999999999</v>
      </c>
      <c r="H17" s="190">
        <f>'Income Assumptions'!J77</f>
        <v>17010.91</v>
      </c>
      <c r="I17" s="192">
        <f>'Income Assumptions'!K77</f>
        <v>16976.888179999998</v>
      </c>
      <c r="J17" s="103">
        <f>'Income Assumptions'!L77</f>
        <v>16925.957515459999</v>
      </c>
      <c r="K17" s="103">
        <f>'Income Assumptions'!M77</f>
        <v>16858.253685398158</v>
      </c>
      <c r="L17" s="103">
        <f>'Income Assumptions'!N77</f>
        <v>16773.962416971168</v>
      </c>
      <c r="M17" s="103">
        <f>'Income Assumptions'!O77</f>
        <v>16690.092604886311</v>
      </c>
      <c r="N17" s="213"/>
      <c r="O17" s="213"/>
      <c r="P17" s="213"/>
      <c r="Q17" s="7"/>
      <c r="R17" s="7"/>
      <c r="S17" s="7"/>
      <c r="T17" s="7"/>
      <c r="U17" s="7"/>
      <c r="V17" s="7"/>
      <c r="W17" s="7"/>
      <c r="X17" s="7"/>
      <c r="Y17" s="7"/>
      <c r="Z17" s="7"/>
    </row>
    <row r="18" spans="1:26" ht="15" customHeight="1">
      <c r="A18" s="7"/>
      <c r="B18" s="16" t="s">
        <v>109</v>
      </c>
      <c r="C18" s="29" t="s">
        <v>53</v>
      </c>
      <c r="D18" s="190">
        <f>'Income Assumptions'!F81</f>
        <v>15066.152</v>
      </c>
      <c r="E18" s="190">
        <f>'Income Assumptions'!G81</f>
        <v>16347.494000000001</v>
      </c>
      <c r="F18" s="190">
        <f>'Income Assumptions'!H81</f>
        <v>17069.589</v>
      </c>
      <c r="G18" s="190">
        <f>'Income Assumptions'!I81</f>
        <v>9119.1460000000006</v>
      </c>
      <c r="H18" s="190">
        <f>'Income Assumptions'!J81</f>
        <v>12216.207</v>
      </c>
      <c r="I18" s="192">
        <f>'Income Assumptions'!K81</f>
        <v>12704.855280000002</v>
      </c>
      <c r="J18" s="103">
        <f>'Income Assumptions'!L81</f>
        <v>13086.000938400002</v>
      </c>
      <c r="K18" s="103">
        <f>'Income Assumptions'!M81</f>
        <v>13347.720957168003</v>
      </c>
      <c r="L18" s="103">
        <f>'Income Assumptions'!N81</f>
        <v>13614.675376311363</v>
      </c>
      <c r="M18" s="103">
        <f>'Income Assumptions'!O81</f>
        <v>13886.96888383759</v>
      </c>
      <c r="N18" s="213"/>
      <c r="O18" s="213"/>
      <c r="P18" s="213"/>
      <c r="Q18" s="7"/>
      <c r="R18" s="7"/>
      <c r="S18" s="7"/>
      <c r="T18" s="7"/>
      <c r="U18" s="7"/>
      <c r="V18" s="7"/>
      <c r="W18" s="7"/>
      <c r="X18" s="7"/>
      <c r="Y18" s="7"/>
      <c r="Z18" s="7"/>
    </row>
    <row r="19" spans="1:26" ht="15" customHeight="1">
      <c r="A19" s="7"/>
      <c r="B19" s="16" t="s">
        <v>111</v>
      </c>
      <c r="C19" s="29" t="s">
        <v>53</v>
      </c>
      <c r="D19" s="190">
        <f>'Income Assumptions'!F85</f>
        <v>15717.638000000001</v>
      </c>
      <c r="E19" s="190">
        <f>'Income Assumptions'!G85</f>
        <v>16486.246999999999</v>
      </c>
      <c r="F19" s="190">
        <f>'Income Assumptions'!H85</f>
        <v>16213.468000000001</v>
      </c>
      <c r="G19" s="190">
        <f>'Income Assumptions'!I85</f>
        <v>25491.128000000001</v>
      </c>
      <c r="H19" s="190">
        <f>'Income Assumptions'!J85</f>
        <v>26676.671999999999</v>
      </c>
      <c r="I19" s="192">
        <f>'Income Assumptions'!K85</f>
        <v>27210.205439999998</v>
      </c>
      <c r="J19" s="103">
        <f>'Income Assumptions'!L85</f>
        <v>27754.409548799998</v>
      </c>
      <c r="K19" s="103">
        <f>'Income Assumptions'!M85</f>
        <v>28309.497739775998</v>
      </c>
      <c r="L19" s="103">
        <f>'Income Assumptions'!N85</f>
        <v>28875.687694571519</v>
      </c>
      <c r="M19" s="103">
        <f>'Income Assumptions'!O85</f>
        <v>29453.201448462951</v>
      </c>
      <c r="N19" s="213"/>
      <c r="O19" s="213"/>
      <c r="P19" s="213"/>
      <c r="Q19" s="7"/>
      <c r="R19" s="7"/>
      <c r="S19" s="7"/>
      <c r="T19" s="7"/>
      <c r="U19" s="7"/>
      <c r="V19" s="7"/>
      <c r="W19" s="7"/>
      <c r="X19" s="7"/>
      <c r="Y19" s="7"/>
      <c r="Z19" s="7"/>
    </row>
    <row r="20" spans="1:26" ht="15" customHeight="1">
      <c r="A20" s="7"/>
      <c r="B20" s="16" t="s">
        <v>113</v>
      </c>
      <c r="C20" s="29" t="s">
        <v>53</v>
      </c>
      <c r="D20" s="190">
        <f>'Income Assumptions'!F89</f>
        <v>9539.7620000000006</v>
      </c>
      <c r="E20" s="190">
        <f>'Income Assumptions'!G89</f>
        <v>11498.146000000001</v>
      </c>
      <c r="F20" s="190">
        <f>'Income Assumptions'!H89</f>
        <v>13439.491</v>
      </c>
      <c r="G20" s="190">
        <f>'Income Assumptions'!I89</f>
        <v>14730.848</v>
      </c>
      <c r="H20" s="190">
        <f>'Income Assumptions'!J89</f>
        <v>19197.224999999999</v>
      </c>
      <c r="I20" s="192">
        <f>'Income Assumptions'!K89</f>
        <v>15109.588618645343</v>
      </c>
      <c r="J20" s="103">
        <f>'Income Assumptions'!L89</f>
        <v>15497.966453331235</v>
      </c>
      <c r="K20" s="103">
        <f>'Income Assumptions'!M89</f>
        <v>15910.558667464153</v>
      </c>
      <c r="L20" s="103">
        <f>'Income Assumptions'!N89</f>
        <v>16305.960416249882</v>
      </c>
      <c r="M20" s="103">
        <f>'Income Assumptions'!O89</f>
        <v>16723.553624187618</v>
      </c>
      <c r="N20" s="213"/>
      <c r="O20" s="213"/>
      <c r="P20" s="213"/>
      <c r="Q20" s="7"/>
      <c r="R20" s="7"/>
      <c r="S20" s="7"/>
      <c r="T20" s="7"/>
      <c r="U20" s="7"/>
      <c r="V20" s="7"/>
      <c r="W20" s="7"/>
      <c r="X20" s="7"/>
      <c r="Y20" s="7"/>
      <c r="Z20" s="7"/>
    </row>
    <row r="21" spans="1:26" ht="15" customHeight="1">
      <c r="A21" s="7"/>
      <c r="B21" s="16" t="s">
        <v>205</v>
      </c>
      <c r="C21" s="29" t="s">
        <v>53</v>
      </c>
      <c r="D21" s="190">
        <v>48421.523999999998</v>
      </c>
      <c r="E21" s="190">
        <v>61661.203000000001</v>
      </c>
      <c r="F21" s="190">
        <v>62748.413</v>
      </c>
      <c r="G21" s="190">
        <v>68265.383000000002</v>
      </c>
      <c r="H21" s="190">
        <v>66928.888000000006</v>
      </c>
      <c r="I21" s="191">
        <f>'Balance Assumptions'!I79</f>
        <v>65569.458756026565</v>
      </c>
      <c r="J21" s="118">
        <f>'Balance Assumptions'!J79</f>
        <v>55925.96409964843</v>
      </c>
      <c r="K21" s="118">
        <f>'Balance Assumptions'!K79</f>
        <v>46385.597688497866</v>
      </c>
      <c r="L21" s="118">
        <f>'Balance Assumptions'!L79</f>
        <v>37040.476158675978</v>
      </c>
      <c r="M21" s="118">
        <f>'Balance Assumptions'!M79</f>
        <v>32898.794014795312</v>
      </c>
      <c r="N21" s="213"/>
      <c r="O21" s="213"/>
      <c r="P21" s="213"/>
      <c r="Q21" s="7"/>
      <c r="R21" s="7"/>
      <c r="S21" s="7"/>
      <c r="T21" s="7"/>
      <c r="U21" s="7"/>
      <c r="V21" s="7"/>
      <c r="W21" s="7"/>
      <c r="X21" s="7"/>
      <c r="Y21" s="7"/>
      <c r="Z21" s="7"/>
    </row>
    <row r="22" spans="1:26" ht="15" customHeight="1">
      <c r="A22" s="7"/>
      <c r="B22" s="14" t="s">
        <v>206</v>
      </c>
      <c r="C22" s="29" t="s">
        <v>53</v>
      </c>
      <c r="D22" s="201">
        <f t="shared" ref="D22:M22" si="5">SUM(D15:D21)</f>
        <v>156233.54</v>
      </c>
      <c r="E22" s="201">
        <f t="shared" si="5"/>
        <v>170510.66400000002</v>
      </c>
      <c r="F22" s="201">
        <f t="shared" si="5"/>
        <v>175467.75400000002</v>
      </c>
      <c r="G22" s="201">
        <f t="shared" si="5"/>
        <v>186063.171</v>
      </c>
      <c r="H22" s="201">
        <f t="shared" si="5"/>
        <v>194440.60700000002</v>
      </c>
      <c r="I22" s="94">
        <f t="shared" si="5"/>
        <v>191304.5145146719</v>
      </c>
      <c r="J22" s="57">
        <f t="shared" si="5"/>
        <v>184281.32427463966</v>
      </c>
      <c r="K22" s="57">
        <f t="shared" si="5"/>
        <v>177295.79719931018</v>
      </c>
      <c r="L22" s="57">
        <f t="shared" si="5"/>
        <v>170524.67578746082</v>
      </c>
      <c r="M22" s="57">
        <f t="shared" si="5"/>
        <v>169033.86632663273</v>
      </c>
      <c r="N22" s="213"/>
      <c r="O22" s="213"/>
      <c r="P22" s="213"/>
      <c r="Q22" s="7"/>
      <c r="R22" s="7"/>
      <c r="S22" s="7"/>
      <c r="T22" s="7"/>
      <c r="U22" s="7"/>
      <c r="V22" s="7"/>
      <c r="W22" s="7"/>
      <c r="X22" s="7"/>
      <c r="Y22" s="7"/>
      <c r="Z22" s="7"/>
    </row>
    <row r="23" spans="1:26" ht="15" customHeight="1">
      <c r="A23" s="7"/>
      <c r="B23" s="194" t="s">
        <v>207</v>
      </c>
      <c r="C23" s="29" t="s">
        <v>53</v>
      </c>
      <c r="D23" s="20">
        <v>4379.4719999999998</v>
      </c>
      <c r="E23" s="20">
        <v>348.49299999999999</v>
      </c>
      <c r="F23" s="20">
        <v>1387.1610000000001</v>
      </c>
      <c r="G23" s="20">
        <v>2231.7849999999999</v>
      </c>
      <c r="H23" s="20">
        <v>2623.6010000000001</v>
      </c>
      <c r="I23" s="214">
        <v>0</v>
      </c>
      <c r="J23" s="215">
        <v>0</v>
      </c>
      <c r="K23" s="215">
        <v>0</v>
      </c>
      <c r="L23" s="215">
        <v>0</v>
      </c>
      <c r="M23" s="215">
        <v>0</v>
      </c>
      <c r="N23" s="213"/>
      <c r="O23" s="213"/>
      <c r="P23" s="213"/>
      <c r="Q23" s="7"/>
      <c r="R23" s="7"/>
      <c r="S23" s="7"/>
      <c r="T23" s="7"/>
      <c r="U23" s="7"/>
      <c r="V23" s="7"/>
      <c r="W23" s="7"/>
      <c r="X23" s="7"/>
      <c r="Y23" s="7"/>
      <c r="Z23" s="7"/>
    </row>
    <row r="24" spans="1:26" ht="15" customHeight="1">
      <c r="A24" s="7"/>
      <c r="B24" s="194" t="s">
        <v>208</v>
      </c>
      <c r="C24" s="29" t="s">
        <v>53</v>
      </c>
      <c r="D24" s="20">
        <v>0</v>
      </c>
      <c r="E24" s="20">
        <v>145</v>
      </c>
      <c r="F24" s="20">
        <v>-948.99</v>
      </c>
      <c r="G24" s="20">
        <v>-219.495</v>
      </c>
      <c r="H24" s="20">
        <f>668.086</f>
        <v>668.08600000000001</v>
      </c>
      <c r="I24" s="192">
        <v>0</v>
      </c>
      <c r="J24" s="103">
        <v>0</v>
      </c>
      <c r="K24" s="103">
        <v>0</v>
      </c>
      <c r="L24" s="103">
        <v>0</v>
      </c>
      <c r="M24" s="103">
        <v>0</v>
      </c>
      <c r="N24" s="213"/>
      <c r="O24" s="213"/>
      <c r="P24" s="213"/>
      <c r="Q24" s="7"/>
      <c r="R24" s="7"/>
      <c r="S24" s="7"/>
      <c r="T24" s="7"/>
      <c r="U24" s="7"/>
      <c r="V24" s="7"/>
      <c r="W24" s="7"/>
      <c r="X24" s="7"/>
      <c r="Y24" s="7"/>
      <c r="Z24" s="7"/>
    </row>
    <row r="25" spans="1:26" ht="15" customHeight="1">
      <c r="A25" s="7"/>
      <c r="B25" s="194" t="s">
        <v>209</v>
      </c>
      <c r="C25" s="29" t="s">
        <v>53</v>
      </c>
      <c r="D25" s="20">
        <f>'Income Assumptions'!F94*-1</f>
        <v>-363.08499999999998</v>
      </c>
      <c r="E25" s="20">
        <f>'Income Assumptions'!G94*-1</f>
        <v>-27.617000000000001</v>
      </c>
      <c r="F25" s="20">
        <f>'Income Assumptions'!H94*-1</f>
        <v>644.39300000000003</v>
      </c>
      <c r="G25" s="20">
        <f>'Income Assumptions'!I94*-1</f>
        <v>333.63600000000002</v>
      </c>
      <c r="H25" s="20">
        <f>'Income Assumptions'!J94*-1</f>
        <v>-2528.9299999999998</v>
      </c>
      <c r="I25" s="192">
        <f>'Income Assumptions'!K94*-1</f>
        <v>0</v>
      </c>
      <c r="J25" s="103">
        <f>'Income Assumptions'!L94*-1</f>
        <v>0</v>
      </c>
      <c r="K25" s="103">
        <f>'Income Assumptions'!M94*-1</f>
        <v>0</v>
      </c>
      <c r="L25" s="103">
        <f>'Income Assumptions'!N94*-1</f>
        <v>0</v>
      </c>
      <c r="M25" s="103">
        <f>'Income Assumptions'!O94*-1</f>
        <v>0</v>
      </c>
      <c r="N25" s="213"/>
      <c r="O25" s="213"/>
      <c r="P25" s="213"/>
      <c r="Q25" s="7"/>
      <c r="R25" s="7"/>
      <c r="S25" s="7"/>
      <c r="T25" s="7"/>
      <c r="U25" s="7"/>
      <c r="V25" s="7"/>
      <c r="W25" s="7"/>
      <c r="X25" s="7"/>
      <c r="Y25" s="7"/>
      <c r="Z25" s="7"/>
    </row>
    <row r="26" spans="1:26" ht="15" customHeight="1">
      <c r="A26" s="7"/>
      <c r="B26" s="194" t="s">
        <v>210</v>
      </c>
      <c r="C26" s="29" t="s">
        <v>53</v>
      </c>
      <c r="D26" s="20">
        <v>-356.39</v>
      </c>
      <c r="E26" s="20">
        <v>0</v>
      </c>
      <c r="F26" s="20">
        <v>-350.803</v>
      </c>
      <c r="G26" s="20">
        <v>-13</v>
      </c>
      <c r="H26" s="20">
        <v>-46.701000000000001</v>
      </c>
      <c r="I26" s="214">
        <v>0</v>
      </c>
      <c r="J26" s="215">
        <v>0</v>
      </c>
      <c r="K26" s="215">
        <v>0</v>
      </c>
      <c r="L26" s="215">
        <v>0</v>
      </c>
      <c r="M26" s="215">
        <v>0</v>
      </c>
      <c r="N26" s="213"/>
      <c r="O26" s="213"/>
      <c r="P26" s="213"/>
      <c r="Q26" s="7"/>
      <c r="R26" s="7"/>
      <c r="S26" s="7"/>
      <c r="T26" s="7"/>
      <c r="U26" s="7"/>
      <c r="V26" s="7"/>
      <c r="W26" s="7"/>
      <c r="X26" s="7"/>
      <c r="Y26" s="7"/>
      <c r="Z26" s="7"/>
    </row>
    <row r="27" spans="1:26" ht="15" customHeight="1">
      <c r="A27" s="7"/>
      <c r="B27" s="216" t="s">
        <v>211</v>
      </c>
      <c r="C27" s="217" t="s">
        <v>53</v>
      </c>
      <c r="D27" s="158">
        <v>0</v>
      </c>
      <c r="E27" s="158">
        <v>0</v>
      </c>
      <c r="F27" s="158">
        <v>397.36700000000002</v>
      </c>
      <c r="G27" s="158">
        <v>0</v>
      </c>
      <c r="H27" s="158">
        <v>0</v>
      </c>
      <c r="I27" s="218">
        <v>0</v>
      </c>
      <c r="J27" s="219">
        <v>0</v>
      </c>
      <c r="K27" s="219">
        <v>0</v>
      </c>
      <c r="L27" s="219">
        <v>0</v>
      </c>
      <c r="M27" s="219">
        <v>0</v>
      </c>
      <c r="N27" s="213"/>
      <c r="O27" s="213"/>
      <c r="P27" s="213"/>
      <c r="Q27" s="7"/>
      <c r="R27" s="7"/>
      <c r="S27" s="7"/>
      <c r="T27" s="7"/>
      <c r="U27" s="7"/>
      <c r="V27" s="7"/>
      <c r="W27" s="7"/>
      <c r="X27" s="7"/>
      <c r="Y27" s="7"/>
      <c r="Z27" s="7"/>
    </row>
    <row r="28" spans="1:26" ht="15.75" customHeight="1">
      <c r="A28" s="7"/>
      <c r="B28" s="14" t="s">
        <v>212</v>
      </c>
      <c r="C28" s="55" t="s">
        <v>53</v>
      </c>
      <c r="D28" s="201">
        <f t="shared" ref="D28:H28" si="6">SUM(D15:D21,D23:D27)</f>
        <v>159893.53700000001</v>
      </c>
      <c r="E28" s="201">
        <f t="shared" si="6"/>
        <v>170976.54</v>
      </c>
      <c r="F28" s="201">
        <f t="shared" si="6"/>
        <v>176596.88200000001</v>
      </c>
      <c r="G28" s="201">
        <f t="shared" si="6"/>
        <v>188396.09700000001</v>
      </c>
      <c r="H28" s="201">
        <f t="shared" si="6"/>
        <v>195156.66300000003</v>
      </c>
      <c r="I28" s="94">
        <f t="shared" ref="I28:M28" si="7">SUM(I15:I21,I23:I26)</f>
        <v>191304.5145146719</v>
      </c>
      <c r="J28" s="57">
        <f t="shared" si="7"/>
        <v>184281.32427463966</v>
      </c>
      <c r="K28" s="57">
        <f t="shared" si="7"/>
        <v>177295.79719931018</v>
      </c>
      <c r="L28" s="57">
        <f t="shared" si="7"/>
        <v>170524.67578746082</v>
      </c>
      <c r="M28" s="57">
        <f t="shared" si="7"/>
        <v>169033.86632663273</v>
      </c>
      <c r="N28" s="213"/>
      <c r="O28" s="213"/>
      <c r="P28" s="213"/>
      <c r="Q28" s="7"/>
      <c r="R28" s="7"/>
      <c r="S28" s="7"/>
      <c r="T28" s="7"/>
      <c r="U28" s="7"/>
      <c r="V28" s="7"/>
      <c r="W28" s="7"/>
      <c r="X28" s="7"/>
      <c r="Y28" s="7"/>
      <c r="Z28" s="7"/>
    </row>
    <row r="29" spans="1:26" ht="15" customHeight="1">
      <c r="A29" s="7"/>
      <c r="B29" s="49" t="s">
        <v>59</v>
      </c>
      <c r="C29" s="55" t="s">
        <v>55</v>
      </c>
      <c r="D29" s="106" t="s">
        <v>56</v>
      </c>
      <c r="E29" s="106">
        <f t="shared" ref="E29:M29" si="8">(E28/D28)-1</f>
        <v>6.9314890444883925E-2</v>
      </c>
      <c r="F29" s="106">
        <f t="shared" si="8"/>
        <v>3.2872006884687277E-2</v>
      </c>
      <c r="G29" s="106">
        <f t="shared" si="8"/>
        <v>6.6814401626864584E-2</v>
      </c>
      <c r="H29" s="106">
        <f t="shared" si="8"/>
        <v>3.5884851690956232E-2</v>
      </c>
      <c r="I29" s="107">
        <f t="shared" si="8"/>
        <v>-1.9738749505714415E-2</v>
      </c>
      <c r="J29" s="106">
        <f t="shared" si="8"/>
        <v>-3.6712098811936822E-2</v>
      </c>
      <c r="K29" s="106">
        <f t="shared" si="8"/>
        <v>-3.7906863882303909E-2</v>
      </c>
      <c r="L29" s="106">
        <f t="shared" si="8"/>
        <v>-3.8191099387637983E-2</v>
      </c>
      <c r="M29" s="106">
        <f t="shared" si="8"/>
        <v>-8.7424852382431695E-3</v>
      </c>
      <c r="N29" s="213"/>
      <c r="O29" s="213"/>
      <c r="P29" s="213"/>
      <c r="Q29" s="7"/>
      <c r="R29" s="7"/>
      <c r="S29" s="7"/>
      <c r="T29" s="7"/>
      <c r="U29" s="7"/>
      <c r="V29" s="7"/>
      <c r="W29" s="7"/>
      <c r="X29" s="7"/>
      <c r="Y29" s="7"/>
      <c r="Z29" s="7"/>
    </row>
    <row r="30" spans="1:26" ht="15" customHeight="1">
      <c r="A30" s="7"/>
      <c r="B30" s="7"/>
      <c r="C30" s="29"/>
      <c r="D30" s="30"/>
      <c r="E30" s="30"/>
      <c r="F30" s="30"/>
      <c r="G30" s="30"/>
      <c r="H30" s="30"/>
      <c r="I30" s="53"/>
      <c r="J30" s="30"/>
      <c r="K30" s="30"/>
      <c r="L30" s="30"/>
      <c r="M30" s="30"/>
      <c r="N30" s="213"/>
      <c r="O30" s="213"/>
      <c r="P30" s="213"/>
      <c r="Q30" s="7"/>
      <c r="R30" s="7"/>
      <c r="S30" s="7"/>
      <c r="T30" s="7"/>
      <c r="U30" s="7"/>
      <c r="V30" s="7"/>
      <c r="W30" s="7"/>
      <c r="X30" s="7"/>
      <c r="Y30" s="7"/>
      <c r="Z30" s="7"/>
    </row>
    <row r="31" spans="1:26" ht="15.75" customHeight="1">
      <c r="A31" s="7"/>
      <c r="B31" s="14" t="s">
        <v>213</v>
      </c>
      <c r="C31" s="55" t="s">
        <v>53</v>
      </c>
      <c r="D31" s="57">
        <f t="shared" ref="D31:M31" si="9">D10-D28</f>
        <v>5703.0119999999879</v>
      </c>
      <c r="E31" s="57">
        <f t="shared" si="9"/>
        <v>13286.974000000017</v>
      </c>
      <c r="F31" s="57">
        <f t="shared" si="9"/>
        <v>23524.107999999978</v>
      </c>
      <c r="G31" s="57">
        <f t="shared" si="9"/>
        <v>22197.612999999983</v>
      </c>
      <c r="H31" s="57">
        <f t="shared" si="9"/>
        <v>21993.52999999997</v>
      </c>
      <c r="I31" s="94">
        <f t="shared" si="9"/>
        <v>30385.351283485186</v>
      </c>
      <c r="J31" s="57">
        <f t="shared" si="9"/>
        <v>43106.87204882683</v>
      </c>
      <c r="K31" s="57">
        <f t="shared" si="9"/>
        <v>56146.006200368778</v>
      </c>
      <c r="L31" s="57">
        <f t="shared" si="9"/>
        <v>68718.513926369429</v>
      </c>
      <c r="M31" s="57">
        <f t="shared" si="9"/>
        <v>76336.305700382305</v>
      </c>
      <c r="N31" s="213"/>
      <c r="O31" s="213"/>
      <c r="P31" s="213"/>
      <c r="Q31" s="7"/>
      <c r="R31" s="7"/>
      <c r="S31" s="7"/>
      <c r="T31" s="7"/>
      <c r="U31" s="7"/>
      <c r="V31" s="7"/>
      <c r="W31" s="7"/>
      <c r="X31" s="7"/>
      <c r="Y31" s="7"/>
      <c r="Z31" s="7"/>
    </row>
    <row r="32" spans="1:26" ht="15" customHeight="1">
      <c r="A32" s="7"/>
      <c r="B32" s="49" t="s">
        <v>214</v>
      </c>
      <c r="C32" s="29" t="s">
        <v>55</v>
      </c>
      <c r="D32" s="106">
        <f t="shared" ref="D32:M32" si="10">D31/D5</f>
        <v>2.8482451011485912E-2</v>
      </c>
      <c r="E32" s="106">
        <f t="shared" si="10"/>
        <v>6.0954671669544082E-2</v>
      </c>
      <c r="F32" s="106">
        <f t="shared" si="10"/>
        <v>0.10179603840578468</v>
      </c>
      <c r="G32" s="106">
        <f t="shared" si="10"/>
        <v>9.173285525072547E-2</v>
      </c>
      <c r="H32" s="106">
        <f t="shared" si="10"/>
        <v>9.0817324538358224E-2</v>
      </c>
      <c r="I32" s="107">
        <f t="shared" si="10"/>
        <v>0.12267087311731015</v>
      </c>
      <c r="J32" s="106">
        <f t="shared" si="10"/>
        <v>0.16966865962038719</v>
      </c>
      <c r="K32" s="106">
        <f t="shared" si="10"/>
        <v>0.21525996979767661</v>
      </c>
      <c r="L32" s="106">
        <f t="shared" si="10"/>
        <v>0.25707344078494893</v>
      </c>
      <c r="M32" s="106">
        <f t="shared" si="10"/>
        <v>0.27844050088663619</v>
      </c>
      <c r="N32" s="213"/>
      <c r="O32" s="213"/>
      <c r="P32" s="213"/>
      <c r="Q32" s="7"/>
      <c r="R32" s="7"/>
      <c r="S32" s="7"/>
      <c r="T32" s="7"/>
      <c r="U32" s="7"/>
      <c r="V32" s="7"/>
      <c r="W32" s="7"/>
      <c r="X32" s="7"/>
      <c r="Y32" s="7"/>
      <c r="Z32" s="7"/>
    </row>
    <row r="33" spans="1:26" ht="15" customHeight="1">
      <c r="A33" s="7"/>
      <c r="B33" s="49" t="s">
        <v>29</v>
      </c>
      <c r="C33" s="29" t="s">
        <v>53</v>
      </c>
      <c r="D33" s="130">
        <f t="shared" ref="D33:M33" si="11">D31+D21</f>
        <v>54124.535999999986</v>
      </c>
      <c r="E33" s="130">
        <f t="shared" si="11"/>
        <v>74948.177000000025</v>
      </c>
      <c r="F33" s="130">
        <f t="shared" si="11"/>
        <v>86272.520999999979</v>
      </c>
      <c r="G33" s="130">
        <f t="shared" si="11"/>
        <v>90462.995999999985</v>
      </c>
      <c r="H33" s="130">
        <f t="shared" si="11"/>
        <v>88922.417999999976</v>
      </c>
      <c r="I33" s="220">
        <f t="shared" si="11"/>
        <v>95954.810039511751</v>
      </c>
      <c r="J33" s="130">
        <f t="shared" si="11"/>
        <v>99032.836148475268</v>
      </c>
      <c r="K33" s="130">
        <f t="shared" si="11"/>
        <v>102531.60388886664</v>
      </c>
      <c r="L33" s="130">
        <f t="shared" si="11"/>
        <v>105758.9900850454</v>
      </c>
      <c r="M33" s="130">
        <f t="shared" si="11"/>
        <v>109235.09971517761</v>
      </c>
      <c r="N33" s="213"/>
      <c r="O33" s="213"/>
      <c r="P33" s="213"/>
      <c r="Q33" s="7"/>
      <c r="R33" s="7"/>
      <c r="S33" s="7"/>
      <c r="T33" s="7"/>
      <c r="U33" s="7"/>
      <c r="V33" s="7"/>
      <c r="W33" s="7"/>
      <c r="X33" s="7"/>
      <c r="Y33" s="7"/>
      <c r="Z33" s="7"/>
    </row>
    <row r="34" spans="1:26" ht="15" customHeight="1">
      <c r="A34" s="7"/>
      <c r="B34" s="49" t="s">
        <v>30</v>
      </c>
      <c r="C34" s="29" t="s">
        <v>55</v>
      </c>
      <c r="D34" s="106">
        <f t="shared" ref="D34:M34" si="12">D33/D5</f>
        <v>0.27031320381921142</v>
      </c>
      <c r="E34" s="106">
        <f t="shared" si="12"/>
        <v>0.34382858890714102</v>
      </c>
      <c r="F34" s="106">
        <f t="shared" si="12"/>
        <v>0.37332768839013453</v>
      </c>
      <c r="G34" s="106">
        <f t="shared" si="12"/>
        <v>0.373843300971819</v>
      </c>
      <c r="H34" s="106">
        <f t="shared" si="12"/>
        <v>0.36718508098707009</v>
      </c>
      <c r="I34" s="107">
        <f t="shared" si="12"/>
        <v>0.38738602089981933</v>
      </c>
      <c r="J34" s="106">
        <f t="shared" si="12"/>
        <v>0.38979326889422311</v>
      </c>
      <c r="K34" s="106">
        <f t="shared" si="12"/>
        <v>0.39309919707663565</v>
      </c>
      <c r="L34" s="106">
        <f t="shared" si="12"/>
        <v>0.39564050387112787</v>
      </c>
      <c r="M34" s="106">
        <f t="shared" si="12"/>
        <v>0.39844050088663618</v>
      </c>
      <c r="N34" s="213"/>
      <c r="O34" s="213"/>
      <c r="P34" s="213"/>
      <c r="Q34" s="7"/>
      <c r="R34" s="7"/>
      <c r="S34" s="7"/>
      <c r="T34" s="7"/>
      <c r="U34" s="7"/>
      <c r="V34" s="7"/>
      <c r="W34" s="7"/>
      <c r="X34" s="7"/>
      <c r="Y34" s="7"/>
      <c r="Z34" s="7"/>
    </row>
    <row r="35" spans="1:26" ht="15" customHeight="1">
      <c r="A35" s="7"/>
      <c r="B35" s="7"/>
      <c r="C35" s="29"/>
      <c r="D35" s="30"/>
      <c r="E35" s="30"/>
      <c r="F35" s="30"/>
      <c r="G35" s="30"/>
      <c r="H35" s="30"/>
      <c r="I35" s="53"/>
      <c r="J35" s="30"/>
      <c r="K35" s="30"/>
      <c r="L35" s="30"/>
      <c r="M35" s="30"/>
      <c r="N35" s="213"/>
      <c r="O35" s="213"/>
      <c r="P35" s="213"/>
      <c r="Q35" s="7"/>
      <c r="R35" s="7"/>
      <c r="S35" s="7"/>
      <c r="T35" s="7"/>
      <c r="U35" s="7"/>
      <c r="V35" s="7"/>
      <c r="W35" s="7"/>
      <c r="X35" s="7"/>
      <c r="Y35" s="7"/>
      <c r="Z35" s="7"/>
    </row>
    <row r="36" spans="1:26" ht="15" customHeight="1">
      <c r="A36" s="7"/>
      <c r="B36" s="7" t="s">
        <v>215</v>
      </c>
      <c r="C36" s="29" t="s">
        <v>53</v>
      </c>
      <c r="D36" s="20">
        <v>-14855.24</v>
      </c>
      <c r="E36" s="20">
        <v>-10739.561</v>
      </c>
      <c r="F36" s="20">
        <v>-11215.28</v>
      </c>
      <c r="G36" s="20">
        <v>-9290.2369999999992</v>
      </c>
      <c r="H36" s="20">
        <v>-8861.4850000000006</v>
      </c>
      <c r="I36" s="192">
        <f>-SUM('Debt Schedule'!I17,'Debt Schedule'!I54)</f>
        <v>-7116.6672595806067</v>
      </c>
      <c r="J36" s="103">
        <f>-SUM('Debt Schedule'!J17,'Debt Schedule'!J54)</f>
        <v>-5309.191602079828</v>
      </c>
      <c r="K36" s="103">
        <f>-SUM('Debt Schedule'!K17,'Debt Schedule'!K54)</f>
        <v>-4828.4680223057867</v>
      </c>
      <c r="L36" s="103">
        <f>-SUM('Debt Schedule'!L17,'Debt Schedule'!L54)</f>
        <v>-4546.3937633559171</v>
      </c>
      <c r="M36" s="103">
        <f>-SUM('Debt Schedule'!M17,'Debt Schedule'!M54)</f>
        <v>-4261.7052286905364</v>
      </c>
      <c r="N36" s="7"/>
      <c r="O36" s="213"/>
      <c r="P36" s="213"/>
      <c r="Q36" s="7"/>
      <c r="R36" s="7"/>
      <c r="S36" s="7"/>
      <c r="T36" s="7"/>
      <c r="U36" s="7"/>
      <c r="V36" s="7"/>
      <c r="W36" s="7"/>
      <c r="X36" s="7"/>
      <c r="Y36" s="7"/>
      <c r="Z36" s="7"/>
    </row>
    <row r="37" spans="1:26" ht="15" customHeight="1">
      <c r="A37" s="7"/>
      <c r="B37" s="7" t="s">
        <v>216</v>
      </c>
      <c r="C37" s="29" t="s">
        <v>53</v>
      </c>
      <c r="D37" s="20">
        <v>0</v>
      </c>
      <c r="E37" s="20">
        <v>201.00299999999999</v>
      </c>
      <c r="F37" s="20">
        <v>486.84800000000001</v>
      </c>
      <c r="G37" s="20">
        <v>1486.7919999999999</v>
      </c>
      <c r="H37" s="20">
        <v>2308.076</v>
      </c>
      <c r="I37" s="192">
        <f>'Income Assumptions'!K99*('Balance Sheet'!H7+'Balance Sheet'!H8+'Balance Sheet'!H9)</f>
        <v>2543.460072299999</v>
      </c>
      <c r="J37" s="103">
        <f>'Income Assumptions'!L99*('Balance Sheet'!I7+'Balance Sheet'!I8+'Balance Sheet'!I9)</f>
        <v>2127.553177103523</v>
      </c>
      <c r="K37" s="103">
        <f>'Income Assumptions'!M99*('Balance Sheet'!J7+'Balance Sheet'!J8+'Balance Sheet'!J9)</f>
        <v>2155.354026532309</v>
      </c>
      <c r="L37" s="103">
        <f>'Income Assumptions'!N99*('Balance Sheet'!K7+'Balance Sheet'!K8+'Balance Sheet'!K9)</f>
        <v>2184.8881888767573</v>
      </c>
      <c r="M37" s="103">
        <f>'Income Assumptions'!O99*('Balance Sheet'!L7+'Balance Sheet'!L8+'Balance Sheet'!L9)</f>
        <v>2213.1918238943458</v>
      </c>
      <c r="N37" s="221" t="s">
        <v>217</v>
      </c>
      <c r="O37" s="221"/>
      <c r="P37" s="221"/>
      <c r="Q37" s="221"/>
      <c r="R37" s="221"/>
      <c r="S37" s="7"/>
      <c r="T37" s="7"/>
      <c r="U37" s="7"/>
      <c r="V37" s="7"/>
      <c r="W37" s="7"/>
      <c r="X37" s="7"/>
      <c r="Y37" s="7"/>
      <c r="Z37" s="7"/>
    </row>
    <row r="38" spans="1:26" ht="15" customHeight="1">
      <c r="A38" s="7"/>
      <c r="B38" s="7" t="s">
        <v>218</v>
      </c>
      <c r="C38" s="29" t="s">
        <v>53</v>
      </c>
      <c r="D38" s="20">
        <v>-18937.838</v>
      </c>
      <c r="E38" s="20">
        <v>-17531.866000000002</v>
      </c>
      <c r="F38" s="20">
        <v>-19837.911</v>
      </c>
      <c r="G38" s="20">
        <v>-17757.473000000002</v>
      </c>
      <c r="H38" s="20">
        <v>-21589.024000000001</v>
      </c>
      <c r="I38" s="192">
        <f>-'Debt Schedule'!I36</f>
        <v>-20000</v>
      </c>
      <c r="J38" s="103">
        <f>-'Debt Schedule'!J36</f>
        <v>-20000</v>
      </c>
      <c r="K38" s="103">
        <f>-'Debt Schedule'!K36</f>
        <v>-20000</v>
      </c>
      <c r="L38" s="103">
        <f>-'Debt Schedule'!L36</f>
        <v>-20000</v>
      </c>
      <c r="M38" s="103">
        <f>-'Debt Schedule'!M36</f>
        <v>-20000</v>
      </c>
      <c r="N38" s="213"/>
      <c r="O38" s="213"/>
      <c r="P38" s="213"/>
      <c r="Q38" s="7"/>
      <c r="R38" s="7"/>
      <c r="S38" s="7"/>
      <c r="T38" s="7"/>
      <c r="U38" s="7"/>
      <c r="V38" s="7"/>
      <c r="W38" s="7"/>
      <c r="X38" s="7"/>
      <c r="Y38" s="7"/>
      <c r="Z38" s="7"/>
    </row>
    <row r="39" spans="1:26" ht="15" customHeight="1">
      <c r="A39" s="7"/>
      <c r="B39" s="7" t="s">
        <v>219</v>
      </c>
      <c r="C39" s="29" t="s">
        <v>53</v>
      </c>
      <c r="D39" s="20">
        <v>0</v>
      </c>
      <c r="E39" s="20">
        <v>3526.3710000000001</v>
      </c>
      <c r="F39" s="20">
        <v>0</v>
      </c>
      <c r="G39" s="20">
        <v>0</v>
      </c>
      <c r="H39" s="20">
        <v>-597.37900000000002</v>
      </c>
      <c r="I39" s="122">
        <v>0</v>
      </c>
      <c r="J39" s="20">
        <v>0</v>
      </c>
      <c r="K39" s="20">
        <v>0</v>
      </c>
      <c r="L39" s="20">
        <v>0</v>
      </c>
      <c r="M39" s="20">
        <v>0</v>
      </c>
      <c r="N39" s="7"/>
      <c r="O39" s="7"/>
      <c r="P39" s="7"/>
      <c r="Q39" s="7"/>
      <c r="R39" s="7"/>
      <c r="S39" s="7"/>
      <c r="T39" s="7"/>
      <c r="U39" s="7"/>
      <c r="V39" s="7"/>
      <c r="W39" s="7"/>
      <c r="X39" s="7"/>
      <c r="Y39" s="7"/>
      <c r="Z39" s="7"/>
    </row>
    <row r="40" spans="1:26" ht="15" customHeight="1">
      <c r="A40" s="7"/>
      <c r="B40" s="7"/>
      <c r="C40" s="29"/>
      <c r="D40" s="30"/>
      <c r="E40" s="30"/>
      <c r="F40" s="30"/>
      <c r="G40" s="30"/>
      <c r="H40" s="30"/>
      <c r="I40" s="53"/>
      <c r="J40" s="30"/>
      <c r="K40" s="30"/>
      <c r="L40" s="30"/>
      <c r="M40" s="30"/>
      <c r="N40" s="7"/>
      <c r="O40" s="7"/>
      <c r="P40" s="7"/>
      <c r="Q40" s="7"/>
      <c r="R40" s="7"/>
      <c r="S40" s="7"/>
      <c r="T40" s="7"/>
      <c r="U40" s="7"/>
      <c r="V40" s="7"/>
      <c r="W40" s="7"/>
      <c r="X40" s="7"/>
      <c r="Y40" s="7"/>
      <c r="Z40" s="7"/>
    </row>
    <row r="41" spans="1:26" ht="15.75" customHeight="1">
      <c r="A41" s="7"/>
      <c r="B41" s="14" t="s">
        <v>31</v>
      </c>
      <c r="C41" s="55" t="s">
        <v>53</v>
      </c>
      <c r="D41" s="57">
        <f t="shared" ref="D41:M41" si="13">D31+SUM(D36:D39)</f>
        <v>-28090.066000000013</v>
      </c>
      <c r="E41" s="57">
        <f t="shared" si="13"/>
        <v>-11257.078999999983</v>
      </c>
      <c r="F41" s="57">
        <f t="shared" si="13"/>
        <v>-7042.2350000000224</v>
      </c>
      <c r="G41" s="57">
        <f t="shared" si="13"/>
        <v>-3363.3050000000185</v>
      </c>
      <c r="H41" s="57">
        <f t="shared" si="13"/>
        <v>-6746.282000000032</v>
      </c>
      <c r="I41" s="94">
        <f t="shared" si="13"/>
        <v>5812.1440962045781</v>
      </c>
      <c r="J41" s="57">
        <f t="shared" si="13"/>
        <v>19925.233623850523</v>
      </c>
      <c r="K41" s="57">
        <f t="shared" si="13"/>
        <v>33472.8922045953</v>
      </c>
      <c r="L41" s="57">
        <f t="shared" si="13"/>
        <v>46357.008351890268</v>
      </c>
      <c r="M41" s="57">
        <f t="shared" si="13"/>
        <v>54287.792295586114</v>
      </c>
      <c r="N41" s="7"/>
      <c r="O41" s="7"/>
      <c r="P41" s="7"/>
      <c r="Q41" s="7"/>
      <c r="R41" s="7"/>
      <c r="S41" s="7"/>
      <c r="T41" s="7"/>
      <c r="U41" s="7"/>
      <c r="V41" s="7"/>
      <c r="W41" s="7"/>
      <c r="X41" s="7"/>
      <c r="Y41" s="7"/>
      <c r="Z41" s="7"/>
    </row>
    <row r="42" spans="1:26" ht="15.75" customHeight="1">
      <c r="A42" s="7"/>
      <c r="B42" s="49" t="s">
        <v>220</v>
      </c>
      <c r="C42" s="29" t="s">
        <v>55</v>
      </c>
      <c r="D42" s="106">
        <f t="shared" ref="D42:M42" si="14">D41/D5</f>
        <v>-0.14028971511096383</v>
      </c>
      <c r="E42" s="106">
        <f t="shared" si="14"/>
        <v>-5.1642424708825185E-2</v>
      </c>
      <c r="F42" s="106">
        <f t="shared" si="14"/>
        <v>-3.0473913166975938E-2</v>
      </c>
      <c r="G42" s="106">
        <f t="shared" si="14"/>
        <v>-1.3899042691168782E-2</v>
      </c>
      <c r="H42" s="106">
        <f t="shared" si="14"/>
        <v>-2.785725082882503E-2</v>
      </c>
      <c r="I42" s="107">
        <f t="shared" si="14"/>
        <v>2.3464622288324469E-2</v>
      </c>
      <c r="J42" s="106">
        <f t="shared" si="14"/>
        <v>7.8425724737172034E-2</v>
      </c>
      <c r="K42" s="106">
        <f t="shared" si="14"/>
        <v>0.12833279252825541</v>
      </c>
      <c r="L42" s="106">
        <f t="shared" si="14"/>
        <v>0.17341986839654375</v>
      </c>
      <c r="M42" s="106">
        <f t="shared" si="14"/>
        <v>0.19801744320903081</v>
      </c>
      <c r="N42" s="7"/>
      <c r="O42" s="7"/>
      <c r="P42" s="7"/>
      <c r="Q42" s="7"/>
      <c r="R42" s="7"/>
      <c r="S42" s="7"/>
      <c r="T42" s="7"/>
      <c r="U42" s="7"/>
      <c r="V42" s="7"/>
      <c r="W42" s="7"/>
      <c r="X42" s="7"/>
      <c r="Y42" s="7"/>
      <c r="Z42" s="7"/>
    </row>
    <row r="43" spans="1:26" ht="15.75" customHeight="1">
      <c r="A43" s="7"/>
      <c r="B43" s="7"/>
      <c r="C43" s="29"/>
      <c r="D43" s="30"/>
      <c r="E43" s="30"/>
      <c r="F43" s="30"/>
      <c r="G43" s="30"/>
      <c r="H43" s="30"/>
      <c r="I43" s="44"/>
      <c r="J43" s="7"/>
      <c r="K43" s="7"/>
      <c r="L43" s="7"/>
      <c r="M43" s="7"/>
      <c r="N43" s="7"/>
      <c r="O43" s="7"/>
      <c r="P43" s="7"/>
      <c r="Q43" s="7"/>
      <c r="R43" s="7"/>
      <c r="S43" s="7"/>
      <c r="T43" s="7"/>
      <c r="U43" s="7"/>
      <c r="V43" s="7"/>
      <c r="W43" s="7"/>
      <c r="X43" s="7"/>
      <c r="Y43" s="7"/>
      <c r="Z43" s="7"/>
    </row>
    <row r="44" spans="1:26" ht="15.75" customHeight="1">
      <c r="A44" s="7"/>
      <c r="B44" s="14" t="s">
        <v>221</v>
      </c>
      <c r="C44" s="29"/>
      <c r="D44" s="30"/>
      <c r="E44" s="30"/>
      <c r="F44" s="30"/>
      <c r="G44" s="30"/>
      <c r="H44" s="30"/>
      <c r="I44" s="44"/>
      <c r="J44" s="7"/>
      <c r="K44" s="7"/>
      <c r="L44" s="7"/>
      <c r="M44" s="7"/>
      <c r="N44" s="7"/>
      <c r="O44" s="7"/>
      <c r="P44" s="7"/>
      <c r="Q44" s="7"/>
      <c r="R44" s="7"/>
      <c r="S44" s="7"/>
      <c r="T44" s="7"/>
      <c r="U44" s="7"/>
      <c r="V44" s="7"/>
      <c r="W44" s="7"/>
      <c r="X44" s="7"/>
      <c r="Y44" s="7"/>
      <c r="Z44" s="7"/>
    </row>
    <row r="45" spans="1:26" ht="15.75" customHeight="1">
      <c r="A45" s="7"/>
      <c r="B45" s="14" t="s">
        <v>222</v>
      </c>
      <c r="C45" s="55" t="s">
        <v>53</v>
      </c>
      <c r="D45" s="57">
        <f t="shared" ref="D45:H45" si="15">D46+D47</f>
        <v>-28090.065999999999</v>
      </c>
      <c r="E45" s="57">
        <f t="shared" si="15"/>
        <v>-11256.674000000001</v>
      </c>
      <c r="F45" s="57">
        <f t="shared" si="15"/>
        <v>-7042.2349999999997</v>
      </c>
      <c r="G45" s="57">
        <f t="shared" si="15"/>
        <v>-3363.3050000000003</v>
      </c>
      <c r="H45" s="57">
        <f t="shared" si="15"/>
        <v>-6746.2819999999992</v>
      </c>
      <c r="I45" s="94">
        <f t="shared" ref="I45:M45" si="16">I41</f>
        <v>5812.1440962045781</v>
      </c>
      <c r="J45" s="57">
        <f t="shared" si="16"/>
        <v>19925.233623850523</v>
      </c>
      <c r="K45" s="57">
        <f t="shared" si="16"/>
        <v>33472.8922045953</v>
      </c>
      <c r="L45" s="57">
        <f t="shared" si="16"/>
        <v>46357.008351890268</v>
      </c>
      <c r="M45" s="57">
        <f t="shared" si="16"/>
        <v>54287.792295586114</v>
      </c>
      <c r="N45" s="605" t="s">
        <v>223</v>
      </c>
      <c r="O45" s="605"/>
      <c r="P45" s="605"/>
      <c r="Q45" s="605"/>
      <c r="R45" s="605"/>
      <c r="S45" s="605"/>
      <c r="T45" s="605"/>
      <c r="U45" s="7"/>
      <c r="V45" s="7"/>
      <c r="W45" s="7"/>
      <c r="X45" s="7"/>
      <c r="Y45" s="7"/>
      <c r="Z45" s="7"/>
    </row>
    <row r="46" spans="1:26" ht="15.75" customHeight="1">
      <c r="A46" s="7"/>
      <c r="B46" s="222" t="s">
        <v>224</v>
      </c>
      <c r="C46" s="223" t="s">
        <v>53</v>
      </c>
      <c r="D46" s="224">
        <v>-5982.9549999999999</v>
      </c>
      <c r="E46" s="224">
        <v>5104.9189999999999</v>
      </c>
      <c r="F46" s="224">
        <v>4591.9070000000002</v>
      </c>
      <c r="G46" s="224">
        <v>-5259.2830000000004</v>
      </c>
      <c r="H46" s="224">
        <v>-4453.9769999999999</v>
      </c>
      <c r="I46" s="225">
        <f t="shared" ref="I46:M46" si="17">I45-I47</f>
        <v>4185.4157321844305</v>
      </c>
      <c r="J46" s="226">
        <f t="shared" si="17"/>
        <v>14909.418574341747</v>
      </c>
      <c r="K46" s="226">
        <f t="shared" si="17"/>
        <v>25115.822899452593</v>
      </c>
      <c r="L46" s="226">
        <f t="shared" si="17"/>
        <v>34784.722995759315</v>
      </c>
      <c r="M46" s="227">
        <f t="shared" si="17"/>
        <v>40506.998795864063</v>
      </c>
      <c r="N46" s="605"/>
      <c r="O46" s="605"/>
      <c r="P46" s="605"/>
      <c r="Q46" s="605"/>
      <c r="R46" s="605"/>
      <c r="S46" s="605"/>
      <c r="T46" s="605"/>
      <c r="U46" s="7"/>
      <c r="V46" s="7"/>
      <c r="W46" s="7"/>
      <c r="X46" s="7"/>
      <c r="Y46" s="7"/>
      <c r="Z46" s="7"/>
    </row>
    <row r="47" spans="1:26" ht="15.75" customHeight="1">
      <c r="A47" s="7"/>
      <c r="B47" s="222" t="s">
        <v>225</v>
      </c>
      <c r="C47" s="223" t="s">
        <v>53</v>
      </c>
      <c r="D47" s="224">
        <v>-22107.111000000001</v>
      </c>
      <c r="E47" s="224">
        <v>-16361.593000000001</v>
      </c>
      <c r="F47" s="224">
        <v>-11634.142</v>
      </c>
      <c r="G47" s="224">
        <v>1895.9780000000001</v>
      </c>
      <c r="H47" s="224">
        <v>-2292.3049999999998</v>
      </c>
      <c r="I47" s="225">
        <f t="shared" ref="I47:M47" si="18">I50</f>
        <v>1626.7283640201474</v>
      </c>
      <c r="J47" s="226">
        <f t="shared" si="18"/>
        <v>5015.8150495087748</v>
      </c>
      <c r="K47" s="226">
        <f t="shared" si="18"/>
        <v>8357.0693051427079</v>
      </c>
      <c r="L47" s="226">
        <f t="shared" si="18"/>
        <v>11572.285356130955</v>
      </c>
      <c r="M47" s="227">
        <f t="shared" si="18"/>
        <v>13780.793499722051</v>
      </c>
      <c r="N47" s="605"/>
      <c r="O47" s="605"/>
      <c r="P47" s="605"/>
      <c r="Q47" s="605"/>
      <c r="R47" s="605"/>
      <c r="S47" s="605"/>
      <c r="T47" s="605"/>
      <c r="U47" s="7"/>
      <c r="V47" s="7"/>
      <c r="W47" s="7"/>
      <c r="X47" s="7"/>
      <c r="Y47" s="7"/>
      <c r="Z47" s="7"/>
    </row>
    <row r="48" spans="1:26" ht="15.75" customHeight="1">
      <c r="A48" s="7"/>
      <c r="B48" s="49"/>
      <c r="C48" s="29"/>
      <c r="D48" s="106"/>
      <c r="E48" s="106"/>
      <c r="F48" s="106"/>
      <c r="G48" s="106"/>
      <c r="H48" s="106"/>
      <c r="I48" s="107"/>
      <c r="J48" s="106"/>
      <c r="K48" s="106"/>
      <c r="L48" s="106"/>
      <c r="M48" s="106"/>
      <c r="T48" s="7"/>
      <c r="U48" s="7"/>
      <c r="V48" s="7"/>
      <c r="W48" s="7"/>
      <c r="X48" s="7"/>
      <c r="Y48" s="7"/>
      <c r="Z48" s="7"/>
    </row>
    <row r="49" spans="1:26" ht="15.75" customHeight="1">
      <c r="A49" s="7"/>
      <c r="B49" s="228" t="s">
        <v>89</v>
      </c>
      <c r="C49" s="229" t="s">
        <v>53</v>
      </c>
      <c r="D49" s="230">
        <f>'Income Assumptions'!F51</f>
        <v>-40920.724999999999</v>
      </c>
      <c r="E49" s="230">
        <f>'Income Assumptions'!G51</f>
        <v>-31448.441999999999</v>
      </c>
      <c r="F49" s="230">
        <f>'Income Assumptions'!H51</f>
        <v>-22481.433000000001</v>
      </c>
      <c r="G49" s="230">
        <f>'Income Assumptions'!I51</f>
        <v>1446.8040000000001</v>
      </c>
      <c r="H49" s="230">
        <f>'Income Assumptions'!J51</f>
        <v>-4429.5749999999998</v>
      </c>
      <c r="I49" s="231">
        <f>'Income Assumptions'!K51</f>
        <v>3143.4364522128453</v>
      </c>
      <c r="J49" s="230">
        <f>'Income Assumptions'!L51</f>
        <v>9692.3962309348317</v>
      </c>
      <c r="K49" s="230">
        <f>'Income Assumptions'!M51</f>
        <v>16148.926193512481</v>
      </c>
      <c r="L49" s="230">
        <f>'Income Assumptions'!N51</f>
        <v>22361.904069818273</v>
      </c>
      <c r="M49" s="230">
        <f>'Income Assumptions'!O51</f>
        <v>26629.552656467735</v>
      </c>
      <c r="N49" s="7"/>
      <c r="O49" s="7"/>
      <c r="P49" s="7"/>
      <c r="Q49" s="7"/>
      <c r="R49" s="7"/>
      <c r="S49" s="7"/>
      <c r="T49" s="7"/>
      <c r="U49" s="7"/>
      <c r="V49" s="7"/>
      <c r="W49" s="7"/>
      <c r="X49" s="7"/>
      <c r="Y49" s="7"/>
      <c r="Z49" s="7"/>
    </row>
    <row r="50" spans="1:26" ht="15.75" customHeight="1">
      <c r="A50" s="7"/>
      <c r="B50" s="232" t="s">
        <v>226</v>
      </c>
      <c r="C50" s="233" t="s">
        <v>53</v>
      </c>
      <c r="D50" s="234">
        <f t="shared" ref="D50:M50" si="19">D49*0.5175</f>
        <v>-21176.475187499997</v>
      </c>
      <c r="E50" s="234">
        <f t="shared" si="19"/>
        <v>-16274.568734999999</v>
      </c>
      <c r="F50" s="234">
        <f t="shared" si="19"/>
        <v>-11634.141577499999</v>
      </c>
      <c r="G50" s="234">
        <f t="shared" si="19"/>
        <v>748.72106999999994</v>
      </c>
      <c r="H50" s="234">
        <f t="shared" si="19"/>
        <v>-2292.3050624999996</v>
      </c>
      <c r="I50" s="235">
        <f t="shared" si="19"/>
        <v>1626.7283640201474</v>
      </c>
      <c r="J50" s="236">
        <f t="shared" si="19"/>
        <v>5015.8150495087748</v>
      </c>
      <c r="K50" s="236">
        <f t="shared" si="19"/>
        <v>8357.0693051427079</v>
      </c>
      <c r="L50" s="236">
        <f t="shared" si="19"/>
        <v>11572.285356130955</v>
      </c>
      <c r="M50" s="236">
        <f t="shared" si="19"/>
        <v>13780.793499722051</v>
      </c>
      <c r="N50" s="7"/>
      <c r="O50" s="7"/>
      <c r="P50" s="7"/>
      <c r="Q50" s="7"/>
      <c r="R50" s="7"/>
      <c r="S50" s="7"/>
      <c r="T50" s="7"/>
      <c r="U50" s="7"/>
      <c r="V50" s="7"/>
      <c r="W50" s="7"/>
      <c r="X50" s="7"/>
      <c r="Y50" s="7"/>
      <c r="Z50" s="7"/>
    </row>
    <row r="51" spans="1:26" ht="15.75" customHeight="1">
      <c r="A51" s="7"/>
      <c r="B51" s="7"/>
      <c r="C51" s="29"/>
      <c r="D51" s="20"/>
      <c r="E51" s="20"/>
      <c r="F51" s="20"/>
      <c r="G51" s="20"/>
      <c r="H51" s="20"/>
      <c r="I51" s="122"/>
      <c r="J51" s="20"/>
      <c r="K51" s="20"/>
      <c r="L51" s="20"/>
      <c r="M51" s="20"/>
      <c r="N51" s="7"/>
      <c r="O51" s="7"/>
      <c r="P51" s="7"/>
      <c r="Q51" s="7"/>
      <c r="R51" s="7"/>
      <c r="S51" s="7"/>
      <c r="T51" s="7"/>
      <c r="U51" s="7"/>
      <c r="V51" s="7"/>
      <c r="W51" s="7"/>
      <c r="X51" s="7"/>
      <c r="Y51" s="7"/>
      <c r="Z51" s="7"/>
    </row>
    <row r="52" spans="1:26" ht="15.75" customHeight="1">
      <c r="A52" s="7"/>
      <c r="B52" s="237" t="s">
        <v>227</v>
      </c>
      <c r="C52" s="217" t="s">
        <v>53</v>
      </c>
      <c r="D52" s="158">
        <v>43809.527999999998</v>
      </c>
      <c r="E52" s="158">
        <v>44788.203000000001</v>
      </c>
      <c r="F52" s="158">
        <v>44191.368999999999</v>
      </c>
      <c r="G52" s="158">
        <v>43439.845999999998</v>
      </c>
      <c r="H52" s="158">
        <v>43401.239000000001</v>
      </c>
      <c r="I52" s="157">
        <v>43401.239000000001</v>
      </c>
      <c r="J52" s="158">
        <v>43401.239000000001</v>
      </c>
      <c r="K52" s="158">
        <v>43401.239000000001</v>
      </c>
      <c r="L52" s="158">
        <v>43401.239000000001</v>
      </c>
      <c r="M52" s="158">
        <v>43401.239000000001</v>
      </c>
      <c r="N52" s="7"/>
      <c r="O52" s="7"/>
      <c r="P52" s="7"/>
      <c r="Q52" s="7"/>
      <c r="R52" s="7"/>
      <c r="S52" s="7"/>
      <c r="T52" s="7"/>
      <c r="U52" s="7"/>
      <c r="V52" s="7"/>
      <c r="W52" s="7"/>
      <c r="X52" s="7"/>
      <c r="Y52" s="7"/>
      <c r="Z52" s="7"/>
    </row>
    <row r="53" spans="1:26" ht="15.75" customHeight="1">
      <c r="A53" s="7"/>
      <c r="B53" s="14" t="s">
        <v>228</v>
      </c>
      <c r="C53" s="55" t="s">
        <v>229</v>
      </c>
      <c r="D53" s="238">
        <f t="shared" ref="D53:M53" si="20">D46/D52</f>
        <v>-0.13656743802398419</v>
      </c>
      <c r="E53" s="238">
        <f t="shared" si="20"/>
        <v>0.11397909846930004</v>
      </c>
      <c r="F53" s="238">
        <f t="shared" si="20"/>
        <v>0.10390958922318067</v>
      </c>
      <c r="G53" s="238">
        <f t="shared" si="20"/>
        <v>-0.1210704798539111</v>
      </c>
      <c r="H53" s="238">
        <f t="shared" si="20"/>
        <v>-0.10262326842788981</v>
      </c>
      <c r="I53" s="239">
        <f t="shared" si="20"/>
        <v>9.6435397436106157E-2</v>
      </c>
      <c r="J53" s="240">
        <f t="shared" si="20"/>
        <v>0.34352518310230146</v>
      </c>
      <c r="K53" s="240">
        <f t="shared" si="20"/>
        <v>0.57868907612182663</v>
      </c>
      <c r="L53" s="240">
        <f t="shared" si="20"/>
        <v>0.80146843263528289</v>
      </c>
      <c r="M53" s="240">
        <f t="shared" si="20"/>
        <v>0.93331434146071413</v>
      </c>
      <c r="N53" s="7"/>
      <c r="O53" s="7"/>
      <c r="P53" s="7"/>
      <c r="Q53" s="7"/>
      <c r="R53" s="7"/>
      <c r="S53" s="7"/>
      <c r="T53" s="7"/>
      <c r="U53" s="7"/>
      <c r="V53" s="7"/>
      <c r="W53" s="7"/>
      <c r="X53" s="7"/>
      <c r="Y53" s="7"/>
      <c r="Z53" s="7"/>
    </row>
    <row r="54" spans="1:26" ht="15.75" customHeight="1">
      <c r="A54" s="7"/>
      <c r="B54" s="49" t="s">
        <v>230</v>
      </c>
      <c r="C54" s="29" t="s">
        <v>55</v>
      </c>
      <c r="D54" s="29" t="s">
        <v>56</v>
      </c>
      <c r="E54" s="126">
        <f t="shared" ref="E54:M54" si="21">(E53/D53)-1</f>
        <v>-1.8345993753597609</v>
      </c>
      <c r="F54" s="126">
        <f t="shared" si="21"/>
        <v>-8.8345226285778788E-2</v>
      </c>
      <c r="G54" s="126">
        <f t="shared" si="21"/>
        <v>-2.1651521361890063</v>
      </c>
      <c r="H54" s="126">
        <f t="shared" si="21"/>
        <v>-0.15236754201586133</v>
      </c>
      <c r="I54" s="241">
        <f t="shared" si="21"/>
        <v>-1.9397030411662275</v>
      </c>
      <c r="J54" s="126">
        <f t="shared" si="21"/>
        <v>2.562231216290741</v>
      </c>
      <c r="K54" s="126">
        <f t="shared" si="21"/>
        <v>0.68456085488641927</v>
      </c>
      <c r="L54" s="126">
        <f t="shared" si="21"/>
        <v>0.38497245879677955</v>
      </c>
      <c r="M54" s="126">
        <f t="shared" si="21"/>
        <v>0.16450542960489778</v>
      </c>
      <c r="N54" s="7"/>
      <c r="O54" s="7"/>
      <c r="P54" s="7"/>
      <c r="Q54" s="7"/>
      <c r="R54" s="7"/>
      <c r="S54" s="7"/>
      <c r="T54" s="7"/>
      <c r="U54" s="7"/>
      <c r="V54" s="7"/>
      <c r="W54" s="7"/>
      <c r="X54" s="7"/>
      <c r="Y54" s="7"/>
      <c r="Z54" s="7"/>
    </row>
    <row r="55" spans="1:26" ht="15.75" customHeight="1">
      <c r="A55" s="7"/>
      <c r="C55" s="29"/>
      <c r="D55" s="30"/>
      <c r="E55" s="30"/>
      <c r="F55" s="30"/>
      <c r="G55" s="30"/>
      <c r="H55" s="30"/>
      <c r="I55" s="7"/>
      <c r="J55" s="7"/>
      <c r="K55" s="7"/>
      <c r="L55" s="7"/>
      <c r="M55" s="7"/>
      <c r="N55" s="7"/>
      <c r="O55" s="7"/>
      <c r="P55" s="7"/>
      <c r="Q55" s="7"/>
      <c r="R55" s="7"/>
      <c r="S55" s="7"/>
      <c r="T55" s="7"/>
      <c r="U55" s="7"/>
      <c r="V55" s="7"/>
      <c r="W55" s="7"/>
      <c r="X55" s="7"/>
      <c r="Y55" s="7"/>
      <c r="Z55" s="7"/>
    </row>
    <row r="56" spans="1:26" ht="15.75" customHeight="1">
      <c r="A56" s="7"/>
      <c r="B56" s="7" t="s">
        <v>231</v>
      </c>
      <c r="C56" s="29"/>
      <c r="D56" s="20"/>
      <c r="E56" s="20"/>
      <c r="F56" s="20"/>
      <c r="G56" s="20"/>
      <c r="H56" s="20"/>
      <c r="I56" s="7"/>
      <c r="J56" s="7"/>
      <c r="K56" s="7"/>
      <c r="L56" s="7"/>
      <c r="M56" s="7"/>
      <c r="N56" s="7"/>
      <c r="O56" s="7"/>
      <c r="P56" s="7"/>
      <c r="Q56" s="7"/>
      <c r="R56" s="7"/>
      <c r="S56" s="7"/>
      <c r="T56" s="7"/>
      <c r="U56" s="7"/>
      <c r="V56" s="7"/>
      <c r="W56" s="7"/>
      <c r="X56" s="7"/>
      <c r="Y56" s="7"/>
      <c r="Z56" s="7"/>
    </row>
    <row r="57" spans="1:26" ht="15.75" customHeight="1">
      <c r="A57" s="7"/>
      <c r="B57" s="49" t="s">
        <v>232</v>
      </c>
      <c r="C57" s="29" t="s">
        <v>53</v>
      </c>
      <c r="D57" s="30">
        <v>0</v>
      </c>
      <c r="E57" s="30">
        <v>0</v>
      </c>
      <c r="F57" s="20">
        <v>5210.1120000000001</v>
      </c>
      <c r="G57" s="20">
        <v>5239.8869999999997</v>
      </c>
      <c r="H57" s="20">
        <v>6913.9989999999998</v>
      </c>
      <c r="I57" s="103">
        <v>14000</v>
      </c>
      <c r="J57" s="103">
        <v>14000</v>
      </c>
      <c r="K57" s="103">
        <v>14000</v>
      </c>
      <c r="L57" s="103">
        <v>14000</v>
      </c>
      <c r="M57" s="103">
        <v>14000</v>
      </c>
      <c r="N57" s="625" t="s">
        <v>233</v>
      </c>
      <c r="O57" s="625"/>
      <c r="P57" s="625"/>
      <c r="Q57" s="625"/>
      <c r="R57" s="625"/>
      <c r="S57" s="625"/>
      <c r="T57" s="533"/>
      <c r="U57" s="533"/>
      <c r="V57" s="7"/>
      <c r="W57" s="7"/>
      <c r="X57" s="7"/>
      <c r="Y57" s="7"/>
      <c r="Z57" s="7"/>
    </row>
    <row r="58" spans="1:26" ht="15.75" customHeight="1">
      <c r="A58" s="7"/>
      <c r="B58" s="49" t="s">
        <v>234</v>
      </c>
      <c r="C58" s="29" t="s">
        <v>229</v>
      </c>
      <c r="D58" s="24">
        <f t="shared" ref="D58:M58" si="22">D57/D52</f>
        <v>0</v>
      </c>
      <c r="E58" s="24">
        <f t="shared" si="22"/>
        <v>0</v>
      </c>
      <c r="F58" s="24">
        <f t="shared" si="22"/>
        <v>0.11789885939039364</v>
      </c>
      <c r="G58" s="24">
        <f t="shared" si="22"/>
        <v>0.12062397735019595</v>
      </c>
      <c r="H58" s="24">
        <f t="shared" si="22"/>
        <v>0.15930418484135903</v>
      </c>
      <c r="I58" s="24">
        <f t="shared" si="22"/>
        <v>0.32257143626706142</v>
      </c>
      <c r="J58" s="24">
        <f t="shared" si="22"/>
        <v>0.32257143626706142</v>
      </c>
      <c r="K58" s="24">
        <f t="shared" si="22"/>
        <v>0.32257143626706142</v>
      </c>
      <c r="L58" s="24">
        <f t="shared" si="22"/>
        <v>0.32257143626706142</v>
      </c>
      <c r="M58" s="24">
        <f t="shared" si="22"/>
        <v>0.32257143626706142</v>
      </c>
      <c r="N58" s="533"/>
      <c r="O58" s="533"/>
      <c r="P58" s="533"/>
      <c r="Q58" s="533"/>
      <c r="R58" s="533"/>
      <c r="S58" s="533"/>
      <c r="T58" s="533"/>
      <c r="U58" s="533"/>
      <c r="V58" s="7"/>
      <c r="W58" s="7"/>
      <c r="X58" s="7"/>
      <c r="Y58" s="7"/>
      <c r="Z58" s="7"/>
    </row>
    <row r="59" spans="1:26" ht="15.75" customHeight="1">
      <c r="A59" s="7"/>
      <c r="B59" s="49" t="s">
        <v>34</v>
      </c>
      <c r="C59" s="29" t="s">
        <v>55</v>
      </c>
      <c r="D59" s="106">
        <f t="shared" ref="D59:G59" si="23">D57/D41</f>
        <v>0</v>
      </c>
      <c r="E59" s="106">
        <f t="shared" si="23"/>
        <v>0</v>
      </c>
      <c r="F59" s="106">
        <f t="shared" si="23"/>
        <v>-0.73983784977354261</v>
      </c>
      <c r="G59" s="106">
        <f t="shared" si="23"/>
        <v>-1.557957723132446</v>
      </c>
      <c r="H59" s="106">
        <f>H57/(H41)</f>
        <v>-1.0248606565809089</v>
      </c>
      <c r="I59" s="106">
        <f t="shared" ref="I59:M59" si="24">I57/I41</f>
        <v>2.4087496401099591</v>
      </c>
      <c r="J59" s="106">
        <f t="shared" si="24"/>
        <v>0.70262664239188577</v>
      </c>
      <c r="K59" s="106">
        <f t="shared" si="24"/>
        <v>0.41824888971135937</v>
      </c>
      <c r="L59" s="106">
        <f t="shared" si="24"/>
        <v>0.30200395792859941</v>
      </c>
      <c r="M59" s="106">
        <f t="shared" si="24"/>
        <v>0.25788486523402565</v>
      </c>
      <c r="N59" s="533"/>
      <c r="O59" s="533"/>
      <c r="P59" s="533"/>
      <c r="Q59" s="533"/>
      <c r="R59" s="533"/>
      <c r="S59" s="533"/>
      <c r="T59" s="533"/>
      <c r="U59" s="533"/>
      <c r="V59" s="7"/>
      <c r="W59" s="7"/>
      <c r="X59" s="7"/>
      <c r="Y59" s="7"/>
      <c r="Z59" s="7"/>
    </row>
    <row r="60" spans="1:26" ht="15.75" customHeight="1">
      <c r="A60" s="7"/>
      <c r="B60" s="49" t="s">
        <v>235</v>
      </c>
      <c r="C60" s="29" t="s">
        <v>229</v>
      </c>
      <c r="D60" s="20">
        <f>'Cash Flow'!D11</f>
        <v>18937.838</v>
      </c>
      <c r="E60" s="20">
        <f>'Cash Flow'!E11</f>
        <v>17531.866000000002</v>
      </c>
      <c r="F60" s="20">
        <f>'Cash Flow'!F11</f>
        <v>19837.911</v>
      </c>
      <c r="G60" s="20">
        <f>'Cash Flow'!G11</f>
        <v>17757.473000000002</v>
      </c>
      <c r="H60" s="20">
        <f>'Cash Flow'!H11</f>
        <v>21589.024000000001</v>
      </c>
      <c r="I60" s="103">
        <f>'Cash Flow'!I11</f>
        <v>20000</v>
      </c>
      <c r="J60" s="103">
        <f>'Cash Flow'!J11</f>
        <v>20000</v>
      </c>
      <c r="K60" s="103">
        <f>'Cash Flow'!K11</f>
        <v>20000</v>
      </c>
      <c r="L60" s="103">
        <f>'Cash Flow'!L11</f>
        <v>20000</v>
      </c>
      <c r="M60" s="103">
        <f>'Cash Flow'!M11</f>
        <v>20000</v>
      </c>
      <c r="N60" s="625" t="s">
        <v>236</v>
      </c>
      <c r="O60" s="625"/>
      <c r="P60" s="625"/>
      <c r="Q60" s="625"/>
      <c r="R60" s="625"/>
      <c r="S60" s="625"/>
      <c r="T60" s="625"/>
      <c r="U60" s="625"/>
      <c r="V60" s="7"/>
      <c r="W60" s="7"/>
      <c r="X60" s="7"/>
      <c r="Y60" s="7"/>
      <c r="Z60" s="7"/>
    </row>
    <row r="61" spans="1:26" ht="15.75" customHeight="1">
      <c r="A61" s="7"/>
      <c r="B61" s="7"/>
      <c r="C61" s="29"/>
      <c r="D61" s="30"/>
      <c r="E61" s="30"/>
      <c r="F61" s="30"/>
      <c r="G61" s="30"/>
      <c r="H61" s="243"/>
      <c r="I61" s="7"/>
      <c r="J61" s="7"/>
      <c r="K61" s="7"/>
      <c r="L61" s="7"/>
      <c r="M61" s="7"/>
      <c r="N61" s="7"/>
      <c r="O61" s="7"/>
      <c r="P61" s="7"/>
      <c r="Q61" s="7"/>
      <c r="R61" s="7"/>
      <c r="S61" s="7"/>
      <c r="T61" s="7"/>
      <c r="U61" s="7"/>
      <c r="V61" s="7"/>
      <c r="W61" s="7"/>
      <c r="X61" s="7"/>
      <c r="Y61" s="7"/>
      <c r="Z61" s="7"/>
    </row>
    <row r="62" spans="1:26" ht="15.75" customHeight="1">
      <c r="A62" s="7"/>
      <c r="B62" s="16"/>
      <c r="C62" s="29"/>
      <c r="D62" s="30"/>
      <c r="E62" s="30"/>
      <c r="F62" s="30"/>
      <c r="G62" s="30"/>
      <c r="H62" s="30"/>
      <c r="I62" s="7"/>
      <c r="J62" s="7"/>
      <c r="K62" s="7"/>
      <c r="L62" s="7"/>
      <c r="M62" s="7"/>
      <c r="N62" s="7"/>
      <c r="O62" s="7"/>
      <c r="P62" s="7"/>
      <c r="Q62" s="7"/>
      <c r="R62" s="7"/>
      <c r="S62" s="7"/>
      <c r="T62" s="7"/>
      <c r="U62" s="7"/>
      <c r="V62" s="7"/>
      <c r="W62" s="7"/>
      <c r="X62" s="7"/>
      <c r="Y62" s="7"/>
      <c r="Z62" s="7"/>
    </row>
    <row r="63" spans="1:26" ht="15.75" customHeight="1">
      <c r="A63" s="7"/>
      <c r="B63" s="16"/>
      <c r="C63" s="29"/>
      <c r="D63" s="30"/>
      <c r="E63" s="30"/>
      <c r="F63" s="30"/>
      <c r="G63" s="30"/>
      <c r="H63" s="30"/>
      <c r="I63" s="7"/>
      <c r="J63" s="7"/>
      <c r="K63" s="7"/>
      <c r="L63" s="7"/>
      <c r="M63" s="7"/>
      <c r="N63" s="7"/>
      <c r="O63" s="7"/>
      <c r="P63" s="7"/>
      <c r="Q63" s="7"/>
      <c r="R63" s="7"/>
      <c r="S63" s="7"/>
      <c r="T63" s="7"/>
      <c r="U63" s="7"/>
      <c r="V63" s="7"/>
      <c r="W63" s="7"/>
      <c r="X63" s="7"/>
      <c r="Y63" s="7"/>
      <c r="Z63" s="7"/>
    </row>
    <row r="64" spans="1:26" ht="15.75" customHeight="1">
      <c r="A64" s="7"/>
      <c r="B64" s="16"/>
      <c r="C64" s="29"/>
      <c r="D64" s="30"/>
      <c r="E64" s="30"/>
      <c r="F64" s="30"/>
      <c r="G64" s="30"/>
      <c r="H64" s="30"/>
      <c r="I64" s="7"/>
      <c r="J64" s="7"/>
      <c r="K64" s="7"/>
      <c r="L64" s="7"/>
      <c r="M64" s="7"/>
      <c r="N64" s="7"/>
      <c r="O64" s="7"/>
      <c r="P64" s="7"/>
      <c r="Q64" s="7"/>
      <c r="R64" s="7"/>
      <c r="S64" s="7"/>
      <c r="T64" s="7"/>
      <c r="U64" s="7"/>
      <c r="V64" s="7"/>
      <c r="W64" s="7"/>
      <c r="X64" s="7"/>
      <c r="Y64" s="7"/>
      <c r="Z64" s="7"/>
    </row>
    <row r="65" spans="1:26" ht="15.75" customHeight="1">
      <c r="A65" s="7"/>
      <c r="B65" s="7"/>
      <c r="C65" s="29"/>
      <c r="D65" s="30"/>
      <c r="E65" s="30"/>
      <c r="F65" s="30"/>
      <c r="G65" s="30"/>
      <c r="H65" s="30"/>
      <c r="I65" s="7"/>
      <c r="J65" s="7"/>
      <c r="K65" s="7"/>
      <c r="L65" s="7"/>
      <c r="M65" s="7"/>
      <c r="N65" s="7"/>
      <c r="O65" s="7"/>
      <c r="P65" s="7"/>
      <c r="Q65" s="7"/>
      <c r="R65" s="7"/>
      <c r="S65" s="7"/>
      <c r="T65" s="7"/>
      <c r="U65" s="7"/>
      <c r="V65" s="7"/>
      <c r="W65" s="7"/>
      <c r="X65" s="7"/>
      <c r="Y65" s="7"/>
      <c r="Z65" s="7"/>
    </row>
    <row r="66" spans="1:26" ht="15.75" customHeight="1">
      <c r="A66" s="7"/>
      <c r="B66" s="7"/>
      <c r="C66" s="29"/>
      <c r="D66" s="30"/>
      <c r="E66" s="30"/>
      <c r="F66" s="30"/>
      <c r="G66" s="30"/>
      <c r="H66" s="30"/>
      <c r="I66" s="7"/>
      <c r="J66" s="7"/>
      <c r="K66" s="7"/>
      <c r="L66" s="7"/>
      <c r="M66" s="7"/>
      <c r="N66" s="7"/>
      <c r="O66" s="7"/>
      <c r="P66" s="7"/>
      <c r="Q66" s="7"/>
      <c r="R66" s="7"/>
      <c r="S66" s="7"/>
      <c r="T66" s="7"/>
      <c r="U66" s="7"/>
      <c r="V66" s="7"/>
      <c r="W66" s="7"/>
      <c r="X66" s="7"/>
      <c r="Y66" s="7"/>
      <c r="Z66" s="7"/>
    </row>
    <row r="67" spans="1:26" ht="15.75" customHeight="1">
      <c r="A67" s="7"/>
      <c r="B67" s="7"/>
      <c r="C67" s="29"/>
      <c r="D67" s="30"/>
      <c r="E67" s="30"/>
      <c r="F67" s="30"/>
      <c r="G67" s="30"/>
      <c r="H67" s="30"/>
      <c r="I67" s="7"/>
      <c r="J67" s="7"/>
      <c r="K67" s="7"/>
      <c r="L67" s="7"/>
      <c r="M67" s="7"/>
      <c r="N67" s="7"/>
      <c r="O67" s="7"/>
      <c r="P67" s="7"/>
      <c r="Q67" s="7"/>
      <c r="R67" s="7"/>
      <c r="S67" s="7"/>
      <c r="T67" s="7"/>
      <c r="U67" s="7"/>
      <c r="V67" s="7"/>
      <c r="W67" s="7"/>
      <c r="X67" s="7"/>
      <c r="Y67" s="7"/>
      <c r="Z67" s="7"/>
    </row>
    <row r="68" spans="1:26" ht="15.75" customHeight="1">
      <c r="A68" s="7"/>
      <c r="B68" s="7"/>
      <c r="C68" s="29"/>
      <c r="D68" s="30"/>
      <c r="E68" s="30"/>
      <c r="F68" s="30"/>
      <c r="G68" s="30"/>
      <c r="H68" s="30"/>
      <c r="I68" s="7"/>
      <c r="J68" s="7"/>
      <c r="K68" s="7"/>
      <c r="L68" s="7"/>
      <c r="M68" s="7"/>
      <c r="N68" s="7"/>
      <c r="O68" s="7"/>
      <c r="P68" s="7"/>
      <c r="Q68" s="7"/>
      <c r="R68" s="7"/>
      <c r="S68" s="7"/>
      <c r="T68" s="7"/>
      <c r="U68" s="7"/>
      <c r="V68" s="7"/>
      <c r="W68" s="7"/>
      <c r="X68" s="7"/>
      <c r="Y68" s="7"/>
      <c r="Z68" s="7"/>
    </row>
    <row r="69" spans="1:26" ht="15.75" customHeight="1">
      <c r="A69" s="7"/>
      <c r="B69" s="7"/>
      <c r="C69" s="29"/>
      <c r="D69" s="30"/>
      <c r="E69" s="30"/>
      <c r="F69" s="30"/>
      <c r="G69" s="30"/>
      <c r="H69" s="30"/>
      <c r="I69" s="7"/>
      <c r="J69" s="7"/>
      <c r="K69" s="7"/>
      <c r="L69" s="7"/>
      <c r="M69" s="7"/>
      <c r="N69" s="7"/>
      <c r="O69" s="7"/>
      <c r="P69" s="7"/>
      <c r="Q69" s="7"/>
      <c r="R69" s="7"/>
      <c r="S69" s="7"/>
      <c r="T69" s="7"/>
      <c r="U69" s="7"/>
      <c r="V69" s="7"/>
      <c r="W69" s="7"/>
      <c r="X69" s="7"/>
      <c r="Y69" s="7"/>
      <c r="Z69" s="7"/>
    </row>
    <row r="70" spans="1:26" ht="15.75" customHeight="1">
      <c r="A70" s="7"/>
      <c r="B70" s="7"/>
      <c r="C70" s="29"/>
      <c r="D70" s="30"/>
      <c r="E70" s="30"/>
      <c r="F70" s="30"/>
      <c r="G70" s="30"/>
      <c r="H70" s="30"/>
      <c r="I70" s="7"/>
      <c r="J70" s="7"/>
      <c r="K70" s="7"/>
      <c r="L70" s="7"/>
      <c r="M70" s="7"/>
      <c r="N70" s="7"/>
      <c r="O70" s="7"/>
      <c r="P70" s="7"/>
      <c r="Q70" s="7"/>
      <c r="R70" s="7"/>
      <c r="S70" s="7"/>
      <c r="T70" s="7"/>
      <c r="U70" s="7"/>
      <c r="V70" s="7"/>
      <c r="W70" s="7"/>
      <c r="X70" s="7"/>
      <c r="Y70" s="7"/>
      <c r="Z70" s="7"/>
    </row>
    <row r="71" spans="1:26" ht="15.75" customHeight="1">
      <c r="A71" s="7"/>
      <c r="B71" s="7"/>
      <c r="C71" s="29"/>
      <c r="D71" s="30"/>
      <c r="E71" s="30"/>
      <c r="F71" s="30"/>
      <c r="G71" s="30"/>
      <c r="H71" s="30"/>
      <c r="I71" s="7"/>
      <c r="J71" s="7"/>
      <c r="K71" s="7"/>
      <c r="L71" s="7"/>
      <c r="M71" s="7"/>
      <c r="N71" s="7"/>
      <c r="O71" s="7"/>
      <c r="P71" s="7"/>
      <c r="Q71" s="7"/>
      <c r="R71" s="7"/>
      <c r="S71" s="7"/>
      <c r="T71" s="7"/>
      <c r="U71" s="7"/>
      <c r="V71" s="7"/>
      <c r="W71" s="7"/>
      <c r="X71" s="7"/>
      <c r="Y71" s="7"/>
      <c r="Z71" s="7"/>
    </row>
    <row r="72" spans="1:26" ht="15.75" customHeight="1">
      <c r="A72" s="7"/>
      <c r="B72" s="7"/>
      <c r="C72" s="29"/>
      <c r="D72" s="30"/>
      <c r="E72" s="30"/>
      <c r="F72" s="30"/>
      <c r="G72" s="30"/>
      <c r="H72" s="30"/>
      <c r="I72" s="7"/>
      <c r="J72" s="7"/>
      <c r="K72" s="7"/>
      <c r="L72" s="7"/>
      <c r="M72" s="7"/>
      <c r="N72" s="7"/>
      <c r="O72" s="7"/>
      <c r="P72" s="7"/>
      <c r="Q72" s="7"/>
      <c r="R72" s="7"/>
      <c r="S72" s="7"/>
      <c r="T72" s="7"/>
      <c r="U72" s="7"/>
      <c r="V72" s="7"/>
      <c r="W72" s="7"/>
      <c r="X72" s="7"/>
      <c r="Y72" s="7"/>
      <c r="Z72" s="7"/>
    </row>
    <row r="73" spans="1:26" ht="15.75" customHeight="1">
      <c r="A73" s="7"/>
      <c r="B73" s="7"/>
      <c r="C73" s="29"/>
      <c r="D73" s="30"/>
      <c r="E73" s="30"/>
      <c r="F73" s="30"/>
      <c r="G73" s="30"/>
      <c r="H73" s="30"/>
      <c r="I73" s="7"/>
      <c r="J73" s="7"/>
      <c r="K73" s="7"/>
      <c r="L73" s="7"/>
      <c r="M73" s="7"/>
      <c r="N73" s="7"/>
      <c r="O73" s="7"/>
      <c r="P73" s="7"/>
      <c r="Q73" s="7"/>
      <c r="R73" s="7"/>
      <c r="S73" s="7"/>
      <c r="T73" s="7"/>
      <c r="U73" s="7"/>
      <c r="V73" s="7"/>
      <c r="W73" s="7"/>
      <c r="X73" s="7"/>
      <c r="Y73" s="7"/>
      <c r="Z73" s="7"/>
    </row>
    <row r="74" spans="1:26" ht="15.75" customHeight="1">
      <c r="A74" s="7"/>
      <c r="B74" s="7"/>
      <c r="C74" s="29"/>
      <c r="D74" s="30"/>
      <c r="E74" s="30"/>
      <c r="F74" s="30"/>
      <c r="G74" s="30"/>
      <c r="H74" s="30"/>
      <c r="I74" s="7"/>
      <c r="J74" s="7"/>
      <c r="K74" s="7"/>
      <c r="L74" s="7"/>
      <c r="M74" s="7"/>
      <c r="N74" s="7"/>
      <c r="O74" s="7"/>
      <c r="P74" s="7"/>
      <c r="Q74" s="7"/>
      <c r="R74" s="7"/>
      <c r="S74" s="7"/>
      <c r="T74" s="7"/>
      <c r="U74" s="7"/>
      <c r="V74" s="7"/>
      <c r="W74" s="7"/>
      <c r="X74" s="7"/>
      <c r="Y74" s="7"/>
      <c r="Z74" s="7"/>
    </row>
    <row r="75" spans="1:26" ht="15.75" customHeight="1">
      <c r="A75" s="7"/>
      <c r="B75" s="7"/>
      <c r="C75" s="29"/>
      <c r="D75" s="30"/>
      <c r="E75" s="30"/>
      <c r="F75" s="30"/>
      <c r="G75" s="30"/>
      <c r="H75" s="30"/>
      <c r="I75" s="7"/>
      <c r="J75" s="7"/>
      <c r="K75" s="7"/>
      <c r="L75" s="7"/>
      <c r="M75" s="7"/>
      <c r="N75" s="7"/>
      <c r="O75" s="7"/>
      <c r="P75" s="7"/>
      <c r="Q75" s="7"/>
      <c r="R75" s="7"/>
      <c r="S75" s="7"/>
      <c r="T75" s="7"/>
      <c r="U75" s="7"/>
      <c r="V75" s="7"/>
      <c r="W75" s="7"/>
      <c r="X75" s="7"/>
      <c r="Y75" s="7"/>
      <c r="Z75" s="7"/>
    </row>
    <row r="76" spans="1:26" ht="15.75" customHeight="1">
      <c r="A76" s="7"/>
      <c r="B76" s="7"/>
      <c r="C76" s="29"/>
      <c r="D76" s="30"/>
      <c r="E76" s="30"/>
      <c r="F76" s="30"/>
      <c r="G76" s="30"/>
      <c r="H76" s="30"/>
      <c r="I76" s="7"/>
      <c r="J76" s="7"/>
      <c r="K76" s="7"/>
      <c r="L76" s="7"/>
      <c r="M76" s="7"/>
      <c r="N76" s="7"/>
      <c r="O76" s="7"/>
      <c r="P76" s="7"/>
      <c r="Q76" s="7"/>
      <c r="R76" s="7"/>
      <c r="S76" s="7"/>
      <c r="T76" s="7"/>
      <c r="U76" s="7"/>
      <c r="V76" s="7"/>
      <c r="W76" s="7"/>
      <c r="X76" s="7"/>
      <c r="Y76" s="7"/>
      <c r="Z76" s="7"/>
    </row>
    <row r="77" spans="1:26" ht="15.75" customHeight="1">
      <c r="A77" s="7"/>
      <c r="B77" s="7"/>
      <c r="C77" s="29"/>
      <c r="D77" s="30"/>
      <c r="E77" s="30"/>
      <c r="F77" s="30"/>
      <c r="G77" s="30"/>
      <c r="H77" s="30"/>
      <c r="I77" s="7"/>
      <c r="J77" s="7"/>
      <c r="K77" s="7"/>
      <c r="L77" s="7"/>
      <c r="M77" s="7"/>
      <c r="N77" s="7"/>
      <c r="O77" s="7"/>
      <c r="P77" s="7"/>
      <c r="Q77" s="7"/>
      <c r="R77" s="7"/>
      <c r="S77" s="7"/>
      <c r="T77" s="7"/>
      <c r="U77" s="7"/>
      <c r="V77" s="7"/>
      <c r="W77" s="7"/>
      <c r="X77" s="7"/>
      <c r="Y77" s="7"/>
      <c r="Z77" s="7"/>
    </row>
    <row r="78" spans="1:26" ht="15.75" customHeight="1">
      <c r="A78" s="7"/>
      <c r="B78" s="7"/>
      <c r="C78" s="29"/>
      <c r="D78" s="30"/>
      <c r="E78" s="30"/>
      <c r="F78" s="30"/>
      <c r="G78" s="30"/>
      <c r="H78" s="30"/>
      <c r="I78" s="7"/>
      <c r="J78" s="7"/>
      <c r="K78" s="7"/>
      <c r="L78" s="7"/>
      <c r="M78" s="7"/>
      <c r="N78" s="7"/>
      <c r="O78" s="7"/>
      <c r="P78" s="7"/>
      <c r="Q78" s="7"/>
      <c r="R78" s="7"/>
      <c r="S78" s="7"/>
      <c r="T78" s="7"/>
      <c r="U78" s="7"/>
      <c r="V78" s="7"/>
      <c r="W78" s="7"/>
      <c r="X78" s="7"/>
      <c r="Y78" s="7"/>
      <c r="Z78" s="7"/>
    </row>
    <row r="79" spans="1:26" ht="15.75" customHeight="1">
      <c r="A79" s="7"/>
      <c r="B79" s="7"/>
      <c r="C79" s="29"/>
      <c r="D79" s="30"/>
      <c r="E79" s="30"/>
      <c r="F79" s="30"/>
      <c r="G79" s="30"/>
      <c r="H79" s="30"/>
      <c r="I79" s="7"/>
      <c r="J79" s="7"/>
      <c r="K79" s="7"/>
      <c r="L79" s="7"/>
      <c r="M79" s="7"/>
      <c r="N79" s="7"/>
      <c r="O79" s="7"/>
      <c r="P79" s="7"/>
      <c r="Q79" s="7"/>
      <c r="R79" s="7"/>
      <c r="S79" s="7"/>
      <c r="T79" s="7"/>
      <c r="U79" s="7"/>
      <c r="V79" s="7"/>
      <c r="W79" s="7"/>
      <c r="X79" s="7"/>
      <c r="Y79" s="7"/>
      <c r="Z79" s="7"/>
    </row>
    <row r="80" spans="1:26" ht="15.75" customHeight="1">
      <c r="A80" s="7"/>
      <c r="B80" s="7"/>
      <c r="C80" s="29"/>
      <c r="D80" s="30"/>
      <c r="E80" s="30"/>
      <c r="F80" s="30"/>
      <c r="G80" s="30"/>
      <c r="H80" s="30"/>
      <c r="I80" s="7"/>
      <c r="J80" s="7"/>
      <c r="K80" s="7"/>
      <c r="L80" s="7"/>
      <c r="M80" s="7"/>
      <c r="N80" s="7"/>
      <c r="O80" s="7"/>
      <c r="P80" s="7"/>
      <c r="Q80" s="7"/>
      <c r="R80" s="7"/>
      <c r="S80" s="7"/>
      <c r="T80" s="7"/>
      <c r="U80" s="7"/>
      <c r="V80" s="7"/>
      <c r="W80" s="7"/>
      <c r="X80" s="7"/>
      <c r="Y80" s="7"/>
      <c r="Z80" s="7"/>
    </row>
    <row r="81" spans="1:26" ht="15.75" customHeight="1">
      <c r="A81" s="7"/>
      <c r="B81" s="7"/>
      <c r="C81" s="29"/>
      <c r="D81" s="30"/>
      <c r="E81" s="30"/>
      <c r="F81" s="30"/>
      <c r="G81" s="30"/>
      <c r="H81" s="30"/>
      <c r="I81" s="7"/>
      <c r="J81" s="7"/>
      <c r="K81" s="7"/>
      <c r="L81" s="7"/>
      <c r="M81" s="7"/>
      <c r="N81" s="7"/>
      <c r="O81" s="7"/>
      <c r="P81" s="7"/>
      <c r="Q81" s="7"/>
      <c r="R81" s="7"/>
      <c r="S81" s="7"/>
      <c r="T81" s="7"/>
      <c r="U81" s="7"/>
      <c r="V81" s="7"/>
      <c r="W81" s="7"/>
      <c r="X81" s="7"/>
      <c r="Y81" s="7"/>
      <c r="Z81" s="7"/>
    </row>
    <row r="82" spans="1:26" ht="15.75" customHeight="1">
      <c r="A82" s="7"/>
      <c r="B82" s="7"/>
      <c r="C82" s="29"/>
      <c r="D82" s="30"/>
      <c r="E82" s="30"/>
      <c r="F82" s="30"/>
      <c r="G82" s="30"/>
      <c r="H82" s="30"/>
      <c r="I82" s="7"/>
      <c r="J82" s="7"/>
      <c r="K82" s="7"/>
      <c r="L82" s="7"/>
      <c r="M82" s="7"/>
      <c r="N82" s="7"/>
      <c r="O82" s="7"/>
      <c r="P82" s="7"/>
      <c r="Q82" s="7"/>
      <c r="R82" s="7"/>
      <c r="S82" s="7"/>
      <c r="T82" s="7"/>
      <c r="U82" s="7"/>
      <c r="V82" s="7"/>
      <c r="W82" s="7"/>
      <c r="X82" s="7"/>
      <c r="Y82" s="7"/>
      <c r="Z82" s="7"/>
    </row>
    <row r="83" spans="1:26" ht="15.75" customHeight="1">
      <c r="A83" s="7"/>
      <c r="B83" s="7"/>
      <c r="C83" s="29"/>
      <c r="D83" s="30"/>
      <c r="E83" s="30"/>
      <c r="F83" s="30"/>
      <c r="G83" s="30"/>
      <c r="H83" s="30"/>
      <c r="I83" s="7"/>
      <c r="J83" s="7"/>
      <c r="K83" s="7"/>
      <c r="L83" s="7"/>
      <c r="M83" s="7"/>
      <c r="N83" s="7"/>
      <c r="O83" s="7"/>
      <c r="P83" s="7"/>
      <c r="Q83" s="7"/>
      <c r="R83" s="7"/>
      <c r="S83" s="7"/>
      <c r="T83" s="7"/>
      <c r="U83" s="7"/>
      <c r="V83" s="7"/>
      <c r="W83" s="7"/>
      <c r="X83" s="7"/>
      <c r="Y83" s="7"/>
      <c r="Z83" s="7"/>
    </row>
    <row r="84" spans="1:26" ht="15.75" customHeight="1">
      <c r="A84" s="7"/>
      <c r="B84" s="7"/>
      <c r="C84" s="29"/>
      <c r="D84" s="30"/>
      <c r="E84" s="30"/>
      <c r="F84" s="30"/>
      <c r="G84" s="30"/>
      <c r="H84" s="30"/>
      <c r="I84" s="7"/>
      <c r="J84" s="7"/>
      <c r="K84" s="7"/>
      <c r="L84" s="7"/>
      <c r="M84" s="7"/>
      <c r="N84" s="7"/>
      <c r="O84" s="7"/>
      <c r="P84" s="7"/>
      <c r="Q84" s="7"/>
      <c r="R84" s="7"/>
      <c r="S84" s="7"/>
      <c r="T84" s="7"/>
      <c r="U84" s="7"/>
      <c r="V84" s="7"/>
      <c r="W84" s="7"/>
      <c r="X84" s="7"/>
      <c r="Y84" s="7"/>
      <c r="Z84" s="7"/>
    </row>
    <row r="85" spans="1:26" ht="15.75" customHeight="1">
      <c r="A85" s="7"/>
      <c r="B85" s="7"/>
      <c r="C85" s="29"/>
      <c r="D85" s="30"/>
      <c r="E85" s="30"/>
      <c r="F85" s="30"/>
      <c r="G85" s="30"/>
      <c r="H85" s="30"/>
      <c r="I85" s="7"/>
      <c r="J85" s="7"/>
      <c r="K85" s="7"/>
      <c r="L85" s="7"/>
      <c r="M85" s="7"/>
      <c r="N85" s="7"/>
      <c r="O85" s="7"/>
      <c r="P85" s="7"/>
      <c r="Q85" s="7"/>
      <c r="R85" s="7"/>
      <c r="S85" s="7"/>
      <c r="T85" s="7"/>
      <c r="U85" s="7"/>
      <c r="V85" s="7"/>
      <c r="W85" s="7"/>
      <c r="X85" s="7"/>
      <c r="Y85" s="7"/>
      <c r="Z85" s="7"/>
    </row>
    <row r="86" spans="1:26" ht="15.75" customHeight="1">
      <c r="A86" s="7"/>
      <c r="B86" s="7"/>
      <c r="C86" s="29"/>
      <c r="D86" s="30"/>
      <c r="E86" s="30"/>
      <c r="F86" s="30"/>
      <c r="G86" s="30"/>
      <c r="H86" s="30"/>
      <c r="I86" s="7"/>
      <c r="J86" s="7"/>
      <c r="K86" s="7"/>
      <c r="L86" s="7"/>
      <c r="M86" s="7"/>
      <c r="N86" s="7"/>
      <c r="O86" s="7"/>
      <c r="P86" s="7"/>
      <c r="Q86" s="7"/>
      <c r="R86" s="7"/>
      <c r="S86" s="7"/>
      <c r="T86" s="7"/>
      <c r="U86" s="7"/>
      <c r="V86" s="7"/>
      <c r="W86" s="7"/>
      <c r="X86" s="7"/>
      <c r="Y86" s="7"/>
      <c r="Z86" s="7"/>
    </row>
    <row r="87" spans="1:26" ht="15.75" customHeight="1">
      <c r="A87" s="7"/>
      <c r="B87" s="7"/>
      <c r="C87" s="29"/>
      <c r="D87" s="30"/>
      <c r="E87" s="30"/>
      <c r="F87" s="30"/>
      <c r="G87" s="30"/>
      <c r="H87" s="30"/>
      <c r="I87" s="7"/>
      <c r="J87" s="7"/>
      <c r="K87" s="7"/>
      <c r="L87" s="7"/>
      <c r="M87" s="7"/>
      <c r="N87" s="7"/>
      <c r="O87" s="7"/>
      <c r="P87" s="7"/>
      <c r="Q87" s="7"/>
      <c r="R87" s="7"/>
      <c r="S87" s="7"/>
      <c r="T87" s="7"/>
      <c r="U87" s="7"/>
      <c r="V87" s="7"/>
      <c r="W87" s="7"/>
      <c r="X87" s="7"/>
      <c r="Y87" s="7"/>
      <c r="Z87" s="7"/>
    </row>
    <row r="88" spans="1:26" ht="15.75" customHeight="1">
      <c r="A88" s="7"/>
      <c r="B88" s="7"/>
      <c r="C88" s="29"/>
      <c r="D88" s="30"/>
      <c r="E88" s="30"/>
      <c r="F88" s="30"/>
      <c r="G88" s="30"/>
      <c r="H88" s="30"/>
      <c r="I88" s="7"/>
      <c r="J88" s="7"/>
      <c r="K88" s="7"/>
      <c r="L88" s="7"/>
      <c r="M88" s="7"/>
      <c r="N88" s="7"/>
      <c r="O88" s="7"/>
      <c r="P88" s="7"/>
      <c r="Q88" s="7"/>
      <c r="R88" s="7"/>
      <c r="S88" s="7"/>
      <c r="T88" s="7"/>
      <c r="U88" s="7"/>
      <c r="V88" s="7"/>
      <c r="W88" s="7"/>
      <c r="X88" s="7"/>
      <c r="Y88" s="7"/>
      <c r="Z88" s="7"/>
    </row>
    <row r="89" spans="1:26" ht="15.75" customHeight="1">
      <c r="A89" s="7"/>
      <c r="B89" s="7"/>
      <c r="C89" s="29"/>
      <c r="D89" s="30"/>
      <c r="E89" s="30"/>
      <c r="F89" s="30"/>
      <c r="G89" s="30"/>
      <c r="H89" s="30"/>
      <c r="I89" s="7"/>
      <c r="J89" s="7"/>
      <c r="K89" s="7"/>
      <c r="L89" s="7"/>
      <c r="M89" s="7"/>
      <c r="N89" s="7"/>
      <c r="O89" s="7"/>
      <c r="P89" s="7"/>
      <c r="Q89" s="7"/>
      <c r="R89" s="7"/>
      <c r="S89" s="7"/>
      <c r="T89" s="7"/>
      <c r="U89" s="7"/>
      <c r="V89" s="7"/>
      <c r="W89" s="7"/>
      <c r="X89" s="7"/>
      <c r="Y89" s="7"/>
      <c r="Z89" s="7"/>
    </row>
    <row r="90" spans="1:26" ht="15.75" customHeight="1">
      <c r="A90" s="7"/>
      <c r="B90" s="7"/>
      <c r="C90" s="29"/>
      <c r="D90" s="30"/>
      <c r="E90" s="30"/>
      <c r="F90" s="30"/>
      <c r="G90" s="30"/>
      <c r="H90" s="30"/>
      <c r="I90" s="7"/>
      <c r="J90" s="7"/>
      <c r="K90" s="7"/>
      <c r="L90" s="7"/>
      <c r="M90" s="7"/>
      <c r="N90" s="7"/>
      <c r="O90" s="7"/>
      <c r="P90" s="7"/>
      <c r="Q90" s="7"/>
      <c r="R90" s="7"/>
      <c r="S90" s="7"/>
      <c r="T90" s="7"/>
      <c r="U90" s="7"/>
      <c r="V90" s="7"/>
      <c r="W90" s="7"/>
      <c r="X90" s="7"/>
      <c r="Y90" s="7"/>
      <c r="Z90" s="7"/>
    </row>
    <row r="91" spans="1:26" ht="15.75" customHeight="1">
      <c r="A91" s="7"/>
      <c r="B91" s="7"/>
      <c r="C91" s="29"/>
      <c r="D91" s="30"/>
      <c r="E91" s="30"/>
      <c r="F91" s="30"/>
      <c r="G91" s="30"/>
      <c r="H91" s="30"/>
      <c r="I91" s="7"/>
      <c r="J91" s="7"/>
      <c r="K91" s="7"/>
      <c r="L91" s="7"/>
      <c r="M91" s="7"/>
      <c r="N91" s="7"/>
      <c r="O91" s="7"/>
      <c r="P91" s="7"/>
      <c r="Q91" s="7"/>
      <c r="R91" s="7"/>
      <c r="S91" s="7"/>
      <c r="T91" s="7"/>
      <c r="U91" s="7"/>
      <c r="V91" s="7"/>
      <c r="W91" s="7"/>
      <c r="X91" s="7"/>
      <c r="Y91" s="7"/>
      <c r="Z91" s="7"/>
    </row>
    <row r="92" spans="1:26" ht="15.75" customHeight="1">
      <c r="A92" s="7"/>
      <c r="B92" s="7"/>
      <c r="C92" s="29"/>
      <c r="D92" s="30"/>
      <c r="E92" s="30"/>
      <c r="F92" s="30"/>
      <c r="G92" s="30"/>
      <c r="H92" s="30"/>
      <c r="I92" s="7"/>
      <c r="J92" s="7"/>
      <c r="K92" s="7"/>
      <c r="L92" s="7"/>
      <c r="M92" s="7"/>
      <c r="N92" s="7"/>
      <c r="O92" s="7"/>
      <c r="P92" s="7"/>
      <c r="Q92" s="7"/>
      <c r="R92" s="7"/>
      <c r="S92" s="7"/>
      <c r="T92" s="7"/>
      <c r="U92" s="7"/>
      <c r="V92" s="7"/>
      <c r="W92" s="7"/>
      <c r="X92" s="7"/>
      <c r="Y92" s="7"/>
      <c r="Z92" s="7"/>
    </row>
    <row r="93" spans="1:26" ht="15.75" customHeight="1">
      <c r="A93" s="7"/>
      <c r="B93" s="7"/>
      <c r="C93" s="29"/>
      <c r="D93" s="30"/>
      <c r="E93" s="30"/>
      <c r="F93" s="30"/>
      <c r="G93" s="30"/>
      <c r="H93" s="30"/>
      <c r="I93" s="7"/>
      <c r="J93" s="7"/>
      <c r="K93" s="7"/>
      <c r="L93" s="7"/>
      <c r="M93" s="7"/>
      <c r="N93" s="7"/>
      <c r="O93" s="7"/>
      <c r="P93" s="7"/>
      <c r="Q93" s="7"/>
      <c r="R93" s="7"/>
      <c r="S93" s="7"/>
      <c r="T93" s="7"/>
      <c r="U93" s="7"/>
      <c r="V93" s="7"/>
      <c r="W93" s="7"/>
      <c r="X93" s="7"/>
      <c r="Y93" s="7"/>
      <c r="Z93" s="7"/>
    </row>
    <row r="94" spans="1:26" ht="15.75" customHeight="1">
      <c r="A94" s="7"/>
      <c r="B94" s="7"/>
      <c r="C94" s="29"/>
      <c r="D94" s="30"/>
      <c r="E94" s="30"/>
      <c r="F94" s="30"/>
      <c r="G94" s="30"/>
      <c r="H94" s="30"/>
      <c r="I94" s="7"/>
      <c r="J94" s="7"/>
      <c r="K94" s="7"/>
      <c r="L94" s="7"/>
      <c r="M94" s="7"/>
      <c r="N94" s="7"/>
      <c r="O94" s="7"/>
      <c r="P94" s="7"/>
      <c r="Q94" s="7"/>
      <c r="R94" s="7"/>
      <c r="S94" s="7"/>
      <c r="T94" s="7"/>
      <c r="U94" s="7"/>
      <c r="V94" s="7"/>
      <c r="W94" s="7"/>
      <c r="X94" s="7"/>
      <c r="Y94" s="7"/>
      <c r="Z94" s="7"/>
    </row>
    <row r="95" spans="1:26" ht="15.75" customHeight="1">
      <c r="A95" s="7"/>
      <c r="B95" s="7"/>
      <c r="C95" s="29"/>
      <c r="D95" s="30"/>
      <c r="E95" s="30"/>
      <c r="F95" s="30"/>
      <c r="G95" s="30"/>
      <c r="H95" s="30"/>
      <c r="I95" s="7"/>
      <c r="J95" s="7"/>
      <c r="K95" s="7"/>
      <c r="L95" s="7"/>
      <c r="M95" s="7"/>
      <c r="N95" s="7"/>
      <c r="O95" s="7"/>
      <c r="P95" s="7"/>
      <c r="Q95" s="7"/>
      <c r="R95" s="7"/>
      <c r="S95" s="7"/>
      <c r="T95" s="7"/>
      <c r="U95" s="7"/>
      <c r="V95" s="7"/>
      <c r="W95" s="7"/>
      <c r="X95" s="7"/>
      <c r="Y95" s="7"/>
      <c r="Z95" s="7"/>
    </row>
    <row r="96" spans="1:26" ht="15.75" customHeight="1">
      <c r="A96" s="7"/>
      <c r="B96" s="7"/>
      <c r="C96" s="29"/>
      <c r="D96" s="30"/>
      <c r="E96" s="30"/>
      <c r="F96" s="30"/>
      <c r="G96" s="30"/>
      <c r="H96" s="30"/>
      <c r="I96" s="7"/>
      <c r="J96" s="7"/>
      <c r="K96" s="7"/>
      <c r="L96" s="7"/>
      <c r="M96" s="7"/>
      <c r="N96" s="7"/>
      <c r="O96" s="7"/>
      <c r="P96" s="7"/>
      <c r="Q96" s="7"/>
      <c r="R96" s="7"/>
      <c r="S96" s="7"/>
      <c r="T96" s="7"/>
      <c r="U96" s="7"/>
      <c r="V96" s="7"/>
      <c r="W96" s="7"/>
      <c r="X96" s="7"/>
      <c r="Y96" s="7"/>
      <c r="Z96" s="7"/>
    </row>
    <row r="97" spans="1:26" ht="15.75" customHeight="1">
      <c r="A97" s="7"/>
      <c r="B97" s="7"/>
      <c r="C97" s="29"/>
      <c r="D97" s="30"/>
      <c r="E97" s="30"/>
      <c r="F97" s="30"/>
      <c r="G97" s="30"/>
      <c r="H97" s="30"/>
      <c r="I97" s="7"/>
      <c r="J97" s="7"/>
      <c r="K97" s="7"/>
      <c r="L97" s="7"/>
      <c r="M97" s="7"/>
      <c r="N97" s="7"/>
      <c r="O97" s="7"/>
      <c r="P97" s="7"/>
      <c r="Q97" s="7"/>
      <c r="R97" s="7"/>
      <c r="S97" s="7"/>
      <c r="T97" s="7"/>
      <c r="U97" s="7"/>
      <c r="V97" s="7"/>
      <c r="W97" s="7"/>
      <c r="X97" s="7"/>
      <c r="Y97" s="7"/>
      <c r="Z97" s="7"/>
    </row>
    <row r="98" spans="1:26" ht="15.75" customHeight="1">
      <c r="A98" s="7"/>
      <c r="B98" s="7"/>
      <c r="C98" s="29"/>
      <c r="D98" s="30"/>
      <c r="E98" s="30"/>
      <c r="F98" s="30"/>
      <c r="G98" s="30"/>
      <c r="H98" s="30"/>
      <c r="I98" s="7"/>
      <c r="J98" s="7"/>
      <c r="K98" s="7"/>
      <c r="L98" s="7"/>
      <c r="M98" s="7"/>
      <c r="N98" s="7"/>
      <c r="O98" s="7"/>
      <c r="P98" s="7"/>
      <c r="Q98" s="7"/>
      <c r="R98" s="7"/>
      <c r="S98" s="7"/>
      <c r="T98" s="7"/>
      <c r="U98" s="7"/>
      <c r="V98" s="7"/>
      <c r="W98" s="7"/>
      <c r="X98" s="7"/>
      <c r="Y98" s="7"/>
      <c r="Z98" s="7"/>
    </row>
    <row r="99" spans="1:26" ht="15.75" customHeight="1">
      <c r="A99" s="7"/>
      <c r="B99" s="7"/>
      <c r="C99" s="29"/>
      <c r="D99" s="30"/>
      <c r="E99" s="30"/>
      <c r="F99" s="30"/>
      <c r="G99" s="30"/>
      <c r="H99" s="30"/>
      <c r="I99" s="7"/>
      <c r="J99" s="7"/>
      <c r="K99" s="7"/>
      <c r="L99" s="7"/>
      <c r="M99" s="7"/>
      <c r="N99" s="7"/>
      <c r="O99" s="7"/>
      <c r="P99" s="7"/>
      <c r="Q99" s="7"/>
      <c r="R99" s="7"/>
      <c r="S99" s="7"/>
      <c r="T99" s="7"/>
      <c r="U99" s="7"/>
      <c r="V99" s="7"/>
      <c r="W99" s="7"/>
      <c r="X99" s="7"/>
      <c r="Y99" s="7"/>
      <c r="Z99" s="7"/>
    </row>
    <row r="100" spans="1:26" ht="15.75" customHeight="1">
      <c r="A100" s="7"/>
      <c r="B100" s="7"/>
      <c r="C100" s="29"/>
      <c r="D100" s="30"/>
      <c r="E100" s="30"/>
      <c r="F100" s="30"/>
      <c r="G100" s="30"/>
      <c r="H100" s="30"/>
      <c r="I100" s="7"/>
      <c r="J100" s="7"/>
      <c r="K100" s="7"/>
      <c r="L100" s="7"/>
      <c r="M100" s="7"/>
      <c r="N100" s="7"/>
      <c r="O100" s="7"/>
      <c r="P100" s="7"/>
      <c r="Q100" s="7"/>
      <c r="R100" s="7"/>
      <c r="S100" s="7"/>
      <c r="T100" s="7"/>
      <c r="U100" s="7"/>
      <c r="V100" s="7"/>
      <c r="W100" s="7"/>
      <c r="X100" s="7"/>
      <c r="Y100" s="7"/>
      <c r="Z100" s="7"/>
    </row>
    <row r="101" spans="1:26" ht="15.75" customHeight="1">
      <c r="A101" s="7"/>
      <c r="B101" s="7"/>
      <c r="C101" s="29"/>
      <c r="D101" s="30"/>
      <c r="E101" s="30"/>
      <c r="F101" s="30"/>
      <c r="G101" s="30"/>
      <c r="H101" s="30"/>
      <c r="I101" s="7"/>
      <c r="J101" s="7"/>
      <c r="K101" s="7"/>
      <c r="L101" s="7"/>
      <c r="M101" s="7"/>
      <c r="N101" s="7"/>
      <c r="O101" s="7"/>
      <c r="P101" s="7"/>
      <c r="Q101" s="7"/>
      <c r="R101" s="7"/>
      <c r="S101" s="7"/>
      <c r="T101" s="7"/>
      <c r="U101" s="7"/>
      <c r="V101" s="7"/>
      <c r="W101" s="7"/>
      <c r="X101" s="7"/>
      <c r="Y101" s="7"/>
      <c r="Z101" s="7"/>
    </row>
    <row r="102" spans="1:26" ht="15.75" customHeight="1">
      <c r="A102" s="7"/>
      <c r="B102" s="7"/>
      <c r="C102" s="29"/>
      <c r="D102" s="30"/>
      <c r="E102" s="30"/>
      <c r="F102" s="30"/>
      <c r="G102" s="30"/>
      <c r="H102" s="30"/>
      <c r="I102" s="7"/>
      <c r="J102" s="7"/>
      <c r="K102" s="7"/>
      <c r="L102" s="7"/>
      <c r="M102" s="7"/>
      <c r="N102" s="7"/>
      <c r="O102" s="7"/>
      <c r="P102" s="7"/>
      <c r="Q102" s="7"/>
      <c r="R102" s="7"/>
      <c r="S102" s="7"/>
      <c r="T102" s="7"/>
      <c r="U102" s="7"/>
      <c r="V102" s="7"/>
      <c r="W102" s="7"/>
      <c r="X102" s="7"/>
      <c r="Y102" s="7"/>
      <c r="Z102" s="7"/>
    </row>
    <row r="103" spans="1:26" ht="15.75" customHeight="1">
      <c r="A103" s="7"/>
      <c r="B103" s="7"/>
      <c r="C103" s="29"/>
      <c r="D103" s="30"/>
      <c r="E103" s="30"/>
      <c r="F103" s="30"/>
      <c r="G103" s="30"/>
      <c r="H103" s="30"/>
      <c r="I103" s="7"/>
      <c r="J103" s="7"/>
      <c r="K103" s="7"/>
      <c r="L103" s="7"/>
      <c r="M103" s="7"/>
      <c r="N103" s="7"/>
      <c r="O103" s="7"/>
      <c r="P103" s="7"/>
      <c r="Q103" s="7"/>
      <c r="R103" s="7"/>
      <c r="S103" s="7"/>
      <c r="T103" s="7"/>
      <c r="U103" s="7"/>
      <c r="V103" s="7"/>
      <c r="W103" s="7"/>
      <c r="X103" s="7"/>
      <c r="Y103" s="7"/>
      <c r="Z103" s="7"/>
    </row>
    <row r="104" spans="1:26" ht="15.75" customHeight="1">
      <c r="A104" s="7"/>
      <c r="B104" s="7"/>
      <c r="C104" s="29"/>
      <c r="D104" s="30"/>
      <c r="E104" s="30"/>
      <c r="F104" s="30"/>
      <c r="G104" s="30"/>
      <c r="H104" s="30"/>
      <c r="I104" s="7"/>
      <c r="J104" s="7"/>
      <c r="K104" s="7"/>
      <c r="L104" s="7"/>
      <c r="M104" s="7"/>
      <c r="N104" s="7"/>
      <c r="O104" s="7"/>
      <c r="P104" s="7"/>
      <c r="Q104" s="7"/>
      <c r="R104" s="7"/>
      <c r="S104" s="7"/>
      <c r="T104" s="7"/>
      <c r="U104" s="7"/>
      <c r="V104" s="7"/>
      <c r="W104" s="7"/>
      <c r="X104" s="7"/>
      <c r="Y104" s="7"/>
      <c r="Z104" s="7"/>
    </row>
    <row r="105" spans="1:26" ht="15.75" customHeight="1">
      <c r="A105" s="7"/>
      <c r="B105" s="7"/>
      <c r="C105" s="29"/>
      <c r="D105" s="30"/>
      <c r="E105" s="30"/>
      <c r="F105" s="30"/>
      <c r="G105" s="30"/>
      <c r="H105" s="30"/>
      <c r="I105" s="7"/>
      <c r="J105" s="7"/>
      <c r="K105" s="7"/>
      <c r="L105" s="7"/>
      <c r="M105" s="7"/>
      <c r="N105" s="7"/>
      <c r="O105" s="7"/>
      <c r="P105" s="7"/>
      <c r="Q105" s="7"/>
      <c r="R105" s="7"/>
      <c r="S105" s="7"/>
      <c r="T105" s="7"/>
      <c r="U105" s="7"/>
      <c r="V105" s="7"/>
      <c r="W105" s="7"/>
      <c r="X105" s="7"/>
      <c r="Y105" s="7"/>
      <c r="Z105" s="7"/>
    </row>
    <row r="106" spans="1:26" ht="15.75" customHeight="1">
      <c r="A106" s="7"/>
      <c r="B106" s="7"/>
      <c r="C106" s="29"/>
      <c r="D106" s="30"/>
      <c r="E106" s="30"/>
      <c r="F106" s="30"/>
      <c r="G106" s="30"/>
      <c r="H106" s="30"/>
      <c r="I106" s="7"/>
      <c r="J106" s="7"/>
      <c r="K106" s="7"/>
      <c r="L106" s="7"/>
      <c r="M106" s="7"/>
      <c r="N106" s="7"/>
      <c r="O106" s="7"/>
      <c r="P106" s="7"/>
      <c r="Q106" s="7"/>
      <c r="R106" s="7"/>
      <c r="S106" s="7"/>
      <c r="T106" s="7"/>
      <c r="U106" s="7"/>
      <c r="V106" s="7"/>
      <c r="W106" s="7"/>
      <c r="X106" s="7"/>
      <c r="Y106" s="7"/>
      <c r="Z106" s="7"/>
    </row>
    <row r="107" spans="1:26" ht="15.75" customHeight="1">
      <c r="A107" s="7"/>
      <c r="B107" s="7"/>
      <c r="C107" s="29"/>
      <c r="D107" s="30"/>
      <c r="E107" s="30"/>
      <c r="F107" s="30"/>
      <c r="G107" s="30"/>
      <c r="H107" s="30"/>
      <c r="I107" s="7"/>
      <c r="J107" s="7"/>
      <c r="K107" s="7"/>
      <c r="L107" s="7"/>
      <c r="M107" s="7"/>
      <c r="N107" s="7"/>
      <c r="O107" s="7"/>
      <c r="P107" s="7"/>
      <c r="Q107" s="7"/>
      <c r="R107" s="7"/>
      <c r="S107" s="7"/>
      <c r="T107" s="7"/>
      <c r="U107" s="7"/>
      <c r="V107" s="7"/>
      <c r="W107" s="7"/>
      <c r="X107" s="7"/>
      <c r="Y107" s="7"/>
      <c r="Z107" s="7"/>
    </row>
    <row r="108" spans="1:26" ht="15.75" customHeight="1">
      <c r="A108" s="7"/>
      <c r="B108" s="7"/>
      <c r="C108" s="29"/>
      <c r="D108" s="30"/>
      <c r="E108" s="30"/>
      <c r="F108" s="30"/>
      <c r="G108" s="30"/>
      <c r="H108" s="30"/>
      <c r="I108" s="7"/>
      <c r="J108" s="7"/>
      <c r="K108" s="7"/>
      <c r="L108" s="7"/>
      <c r="M108" s="7"/>
      <c r="N108" s="7"/>
      <c r="O108" s="7"/>
      <c r="P108" s="7"/>
      <c r="Q108" s="7"/>
      <c r="R108" s="7"/>
      <c r="S108" s="7"/>
      <c r="T108" s="7"/>
      <c r="U108" s="7"/>
      <c r="V108" s="7"/>
      <c r="W108" s="7"/>
      <c r="X108" s="7"/>
      <c r="Y108" s="7"/>
      <c r="Z108" s="7"/>
    </row>
    <row r="109" spans="1:26" ht="15.75" customHeight="1">
      <c r="A109" s="7"/>
      <c r="B109" s="7"/>
      <c r="C109" s="29"/>
      <c r="D109" s="30"/>
      <c r="E109" s="30"/>
      <c r="F109" s="30"/>
      <c r="G109" s="30"/>
      <c r="H109" s="30"/>
      <c r="I109" s="7"/>
      <c r="J109" s="7"/>
      <c r="K109" s="7"/>
      <c r="L109" s="7"/>
      <c r="M109" s="7"/>
      <c r="N109" s="7"/>
      <c r="O109" s="7"/>
      <c r="P109" s="7"/>
      <c r="Q109" s="7"/>
      <c r="R109" s="7"/>
      <c r="S109" s="7"/>
      <c r="T109" s="7"/>
      <c r="U109" s="7"/>
      <c r="V109" s="7"/>
      <c r="W109" s="7"/>
      <c r="X109" s="7"/>
      <c r="Y109" s="7"/>
      <c r="Z109" s="7"/>
    </row>
    <row r="110" spans="1:26" ht="15.75" customHeight="1">
      <c r="A110" s="7"/>
      <c r="B110" s="7"/>
      <c r="C110" s="29"/>
      <c r="D110" s="30"/>
      <c r="E110" s="30"/>
      <c r="F110" s="30"/>
      <c r="G110" s="30"/>
      <c r="H110" s="30"/>
      <c r="I110" s="7"/>
      <c r="J110" s="7"/>
      <c r="K110" s="7"/>
      <c r="L110" s="7"/>
      <c r="M110" s="7"/>
      <c r="N110" s="7"/>
      <c r="O110" s="7"/>
      <c r="P110" s="7"/>
      <c r="Q110" s="7"/>
      <c r="R110" s="7"/>
      <c r="S110" s="7"/>
      <c r="T110" s="7"/>
      <c r="U110" s="7"/>
      <c r="V110" s="7"/>
      <c r="W110" s="7"/>
      <c r="X110" s="7"/>
      <c r="Y110" s="7"/>
      <c r="Z110" s="7"/>
    </row>
    <row r="111" spans="1:26" ht="15.75" customHeight="1">
      <c r="A111" s="7"/>
      <c r="B111" s="7"/>
      <c r="C111" s="29"/>
      <c r="D111" s="30"/>
      <c r="E111" s="30"/>
      <c r="F111" s="30"/>
      <c r="G111" s="30"/>
      <c r="H111" s="30"/>
      <c r="I111" s="7"/>
      <c r="J111" s="7"/>
      <c r="K111" s="7"/>
      <c r="L111" s="7"/>
      <c r="M111" s="7"/>
      <c r="N111" s="7"/>
      <c r="O111" s="7"/>
      <c r="P111" s="7"/>
      <c r="Q111" s="7"/>
      <c r="R111" s="7"/>
      <c r="S111" s="7"/>
      <c r="T111" s="7"/>
      <c r="U111" s="7"/>
      <c r="V111" s="7"/>
      <c r="W111" s="7"/>
      <c r="X111" s="7"/>
      <c r="Y111" s="7"/>
      <c r="Z111" s="7"/>
    </row>
    <row r="112" spans="1:26" ht="15.75" customHeight="1">
      <c r="A112" s="7"/>
      <c r="B112" s="7"/>
      <c r="C112" s="29"/>
      <c r="D112" s="30"/>
      <c r="E112" s="30"/>
      <c r="F112" s="30"/>
      <c r="G112" s="30"/>
      <c r="H112" s="30"/>
      <c r="I112" s="7"/>
      <c r="J112" s="7"/>
      <c r="K112" s="7"/>
      <c r="L112" s="7"/>
      <c r="M112" s="7"/>
      <c r="N112" s="7"/>
      <c r="O112" s="7"/>
      <c r="P112" s="7"/>
      <c r="Q112" s="7"/>
      <c r="R112" s="7"/>
      <c r="S112" s="7"/>
      <c r="T112" s="7"/>
      <c r="U112" s="7"/>
      <c r="V112" s="7"/>
      <c r="W112" s="7"/>
      <c r="X112" s="7"/>
      <c r="Y112" s="7"/>
      <c r="Z112" s="7"/>
    </row>
    <row r="113" spans="1:26" ht="15.75" customHeight="1">
      <c r="A113" s="7"/>
      <c r="B113" s="7"/>
      <c r="C113" s="29"/>
      <c r="D113" s="30"/>
      <c r="E113" s="30"/>
      <c r="F113" s="30"/>
      <c r="G113" s="30"/>
      <c r="H113" s="30"/>
      <c r="I113" s="7"/>
      <c r="J113" s="7"/>
      <c r="K113" s="7"/>
      <c r="L113" s="7"/>
      <c r="M113" s="7"/>
      <c r="N113" s="7"/>
      <c r="O113" s="7"/>
      <c r="P113" s="7"/>
      <c r="Q113" s="7"/>
      <c r="R113" s="7"/>
      <c r="S113" s="7"/>
      <c r="T113" s="7"/>
      <c r="U113" s="7"/>
      <c r="V113" s="7"/>
      <c r="W113" s="7"/>
      <c r="X113" s="7"/>
      <c r="Y113" s="7"/>
      <c r="Z113" s="7"/>
    </row>
    <row r="114" spans="1:26" ht="15.75" customHeight="1">
      <c r="A114" s="7"/>
      <c r="B114" s="7"/>
      <c r="C114" s="29"/>
      <c r="D114" s="30"/>
      <c r="E114" s="30"/>
      <c r="F114" s="30"/>
      <c r="G114" s="30"/>
      <c r="H114" s="30"/>
      <c r="I114" s="7"/>
      <c r="J114" s="7"/>
      <c r="K114" s="7"/>
      <c r="L114" s="7"/>
      <c r="M114" s="7"/>
      <c r="N114" s="7"/>
      <c r="O114" s="7"/>
      <c r="P114" s="7"/>
      <c r="Q114" s="7"/>
      <c r="R114" s="7"/>
      <c r="S114" s="7"/>
      <c r="T114" s="7"/>
      <c r="U114" s="7"/>
      <c r="V114" s="7"/>
      <c r="W114" s="7"/>
      <c r="X114" s="7"/>
      <c r="Y114" s="7"/>
      <c r="Z114" s="7"/>
    </row>
    <row r="115" spans="1:26" ht="15.75" customHeight="1">
      <c r="A115" s="7"/>
      <c r="B115" s="7"/>
      <c r="C115" s="29"/>
      <c r="D115" s="30"/>
      <c r="E115" s="30"/>
      <c r="F115" s="30"/>
      <c r="G115" s="30"/>
      <c r="H115" s="30"/>
      <c r="I115" s="7"/>
      <c r="J115" s="7"/>
      <c r="K115" s="7"/>
      <c r="L115" s="7"/>
      <c r="M115" s="7"/>
      <c r="N115" s="7"/>
      <c r="O115" s="7"/>
      <c r="P115" s="7"/>
      <c r="Q115" s="7"/>
      <c r="R115" s="7"/>
      <c r="S115" s="7"/>
      <c r="T115" s="7"/>
      <c r="U115" s="7"/>
      <c r="V115" s="7"/>
      <c r="W115" s="7"/>
      <c r="X115" s="7"/>
      <c r="Y115" s="7"/>
      <c r="Z115" s="7"/>
    </row>
    <row r="116" spans="1:26" ht="15.75" customHeight="1">
      <c r="A116" s="7"/>
      <c r="B116" s="7"/>
      <c r="C116" s="29"/>
      <c r="D116" s="30"/>
      <c r="E116" s="30"/>
      <c r="F116" s="30"/>
      <c r="G116" s="30"/>
      <c r="H116" s="30"/>
      <c r="I116" s="7"/>
      <c r="J116" s="7"/>
      <c r="K116" s="7"/>
      <c r="L116" s="7"/>
      <c r="M116" s="7"/>
      <c r="N116" s="7"/>
      <c r="O116" s="7"/>
      <c r="P116" s="7"/>
      <c r="Q116" s="7"/>
      <c r="R116" s="7"/>
      <c r="S116" s="7"/>
      <c r="T116" s="7"/>
      <c r="U116" s="7"/>
      <c r="V116" s="7"/>
      <c r="W116" s="7"/>
      <c r="X116" s="7"/>
      <c r="Y116" s="7"/>
      <c r="Z116" s="7"/>
    </row>
    <row r="117" spans="1:26" ht="15.75" customHeight="1">
      <c r="A117" s="7"/>
      <c r="B117" s="7"/>
      <c r="C117" s="29"/>
      <c r="D117" s="30"/>
      <c r="E117" s="30"/>
      <c r="F117" s="30"/>
      <c r="G117" s="30"/>
      <c r="H117" s="30"/>
      <c r="I117" s="7"/>
      <c r="J117" s="7"/>
      <c r="K117" s="7"/>
      <c r="L117" s="7"/>
      <c r="M117" s="7"/>
      <c r="N117" s="7"/>
      <c r="O117" s="7"/>
      <c r="P117" s="7"/>
      <c r="Q117" s="7"/>
      <c r="R117" s="7"/>
      <c r="S117" s="7"/>
      <c r="T117" s="7"/>
      <c r="U117" s="7"/>
      <c r="V117" s="7"/>
      <c r="W117" s="7"/>
      <c r="X117" s="7"/>
      <c r="Y117" s="7"/>
      <c r="Z117" s="7"/>
    </row>
    <row r="118" spans="1:26" ht="15.75" customHeight="1">
      <c r="A118" s="7"/>
      <c r="B118" s="7"/>
      <c r="C118" s="29"/>
      <c r="D118" s="30"/>
      <c r="E118" s="30"/>
      <c r="F118" s="30"/>
      <c r="G118" s="30"/>
      <c r="H118" s="30"/>
      <c r="I118" s="7"/>
      <c r="J118" s="7"/>
      <c r="K118" s="7"/>
      <c r="L118" s="7"/>
      <c r="M118" s="7"/>
      <c r="N118" s="7"/>
      <c r="O118" s="7"/>
      <c r="P118" s="7"/>
      <c r="Q118" s="7"/>
      <c r="R118" s="7"/>
      <c r="S118" s="7"/>
      <c r="T118" s="7"/>
      <c r="U118" s="7"/>
      <c r="V118" s="7"/>
      <c r="W118" s="7"/>
      <c r="X118" s="7"/>
      <c r="Y118" s="7"/>
      <c r="Z118" s="7"/>
    </row>
    <row r="119" spans="1:26" ht="15.75" customHeight="1">
      <c r="A119" s="7"/>
      <c r="B119" s="7"/>
      <c r="C119" s="29"/>
      <c r="D119" s="30"/>
      <c r="E119" s="30"/>
      <c r="F119" s="30"/>
      <c r="G119" s="30"/>
      <c r="H119" s="30"/>
      <c r="I119" s="7"/>
      <c r="J119" s="7"/>
      <c r="K119" s="7"/>
      <c r="L119" s="7"/>
      <c r="M119" s="7"/>
      <c r="N119" s="7"/>
      <c r="O119" s="7"/>
      <c r="P119" s="7"/>
      <c r="Q119" s="7"/>
      <c r="R119" s="7"/>
      <c r="S119" s="7"/>
      <c r="T119" s="7"/>
      <c r="U119" s="7"/>
      <c r="V119" s="7"/>
      <c r="W119" s="7"/>
      <c r="X119" s="7"/>
      <c r="Y119" s="7"/>
      <c r="Z119" s="7"/>
    </row>
    <row r="120" spans="1:26" ht="15.75" customHeight="1">
      <c r="A120" s="7"/>
      <c r="B120" s="7"/>
      <c r="C120" s="29"/>
      <c r="D120" s="30"/>
      <c r="E120" s="30"/>
      <c r="F120" s="30"/>
      <c r="G120" s="30"/>
      <c r="H120" s="30"/>
      <c r="I120" s="7"/>
      <c r="J120" s="7"/>
      <c r="K120" s="7"/>
      <c r="L120" s="7"/>
      <c r="M120" s="7"/>
      <c r="N120" s="7"/>
      <c r="O120" s="7"/>
      <c r="P120" s="7"/>
      <c r="Q120" s="7"/>
      <c r="R120" s="7"/>
      <c r="S120" s="7"/>
      <c r="T120" s="7"/>
      <c r="U120" s="7"/>
      <c r="V120" s="7"/>
      <c r="W120" s="7"/>
      <c r="X120" s="7"/>
      <c r="Y120" s="7"/>
      <c r="Z120" s="7"/>
    </row>
    <row r="121" spans="1:26" ht="15.75" customHeight="1">
      <c r="A121" s="7"/>
      <c r="B121" s="7"/>
      <c r="C121" s="29"/>
      <c r="D121" s="30"/>
      <c r="E121" s="30"/>
      <c r="F121" s="30"/>
      <c r="G121" s="30"/>
      <c r="H121" s="30"/>
      <c r="I121" s="7"/>
      <c r="J121" s="7"/>
      <c r="K121" s="7"/>
      <c r="L121" s="7"/>
      <c r="M121" s="7"/>
      <c r="N121" s="7"/>
      <c r="O121" s="7"/>
      <c r="P121" s="7"/>
      <c r="Q121" s="7"/>
      <c r="R121" s="7"/>
      <c r="S121" s="7"/>
      <c r="T121" s="7"/>
      <c r="U121" s="7"/>
      <c r="V121" s="7"/>
      <c r="W121" s="7"/>
      <c r="X121" s="7"/>
      <c r="Y121" s="7"/>
      <c r="Z121" s="7"/>
    </row>
    <row r="122" spans="1:26" ht="15.75" customHeight="1">
      <c r="A122" s="7"/>
      <c r="B122" s="7"/>
      <c r="C122" s="29"/>
      <c r="D122" s="30"/>
      <c r="E122" s="30"/>
      <c r="F122" s="30"/>
      <c r="G122" s="30"/>
      <c r="H122" s="30"/>
      <c r="I122" s="7"/>
      <c r="J122" s="7"/>
      <c r="K122" s="7"/>
      <c r="L122" s="7"/>
      <c r="M122" s="7"/>
      <c r="N122" s="7"/>
      <c r="O122" s="7"/>
      <c r="P122" s="7"/>
      <c r="Q122" s="7"/>
      <c r="R122" s="7"/>
      <c r="S122" s="7"/>
      <c r="T122" s="7"/>
      <c r="U122" s="7"/>
      <c r="V122" s="7"/>
      <c r="W122" s="7"/>
      <c r="X122" s="7"/>
      <c r="Y122" s="7"/>
      <c r="Z122" s="7"/>
    </row>
    <row r="123" spans="1:26" ht="15.75" customHeight="1">
      <c r="A123" s="7"/>
      <c r="B123" s="7"/>
      <c r="C123" s="29"/>
      <c r="D123" s="30"/>
      <c r="E123" s="30"/>
      <c r="F123" s="30"/>
      <c r="G123" s="30"/>
      <c r="H123" s="30"/>
      <c r="I123" s="7"/>
      <c r="J123" s="7"/>
      <c r="K123" s="7"/>
      <c r="L123" s="7"/>
      <c r="M123" s="7"/>
      <c r="N123" s="7"/>
      <c r="O123" s="7"/>
      <c r="P123" s="7"/>
      <c r="Q123" s="7"/>
      <c r="R123" s="7"/>
      <c r="S123" s="7"/>
      <c r="T123" s="7"/>
      <c r="U123" s="7"/>
      <c r="V123" s="7"/>
      <c r="W123" s="7"/>
      <c r="X123" s="7"/>
      <c r="Y123" s="7"/>
      <c r="Z123" s="7"/>
    </row>
    <row r="124" spans="1:26" ht="15.75" customHeight="1">
      <c r="A124" s="7"/>
      <c r="B124" s="7"/>
      <c r="C124" s="29"/>
      <c r="D124" s="30"/>
      <c r="E124" s="30"/>
      <c r="F124" s="30"/>
      <c r="G124" s="30"/>
      <c r="H124" s="30"/>
      <c r="I124" s="7"/>
      <c r="J124" s="7"/>
      <c r="K124" s="7"/>
      <c r="L124" s="7"/>
      <c r="M124" s="7"/>
      <c r="N124" s="7"/>
      <c r="O124" s="7"/>
      <c r="P124" s="7"/>
      <c r="Q124" s="7"/>
      <c r="R124" s="7"/>
      <c r="S124" s="7"/>
      <c r="T124" s="7"/>
      <c r="U124" s="7"/>
      <c r="V124" s="7"/>
      <c r="W124" s="7"/>
      <c r="X124" s="7"/>
      <c r="Y124" s="7"/>
      <c r="Z124" s="7"/>
    </row>
    <row r="125" spans="1:26" ht="15.75" customHeight="1">
      <c r="A125" s="7"/>
      <c r="B125" s="7"/>
      <c r="C125" s="29"/>
      <c r="D125" s="30"/>
      <c r="E125" s="30"/>
      <c r="F125" s="30"/>
      <c r="G125" s="30"/>
      <c r="H125" s="30"/>
      <c r="I125" s="7"/>
      <c r="J125" s="7"/>
      <c r="K125" s="7"/>
      <c r="L125" s="7"/>
      <c r="M125" s="7"/>
      <c r="N125" s="7"/>
      <c r="O125" s="7"/>
      <c r="P125" s="7"/>
      <c r="Q125" s="7"/>
      <c r="R125" s="7"/>
      <c r="S125" s="7"/>
      <c r="T125" s="7"/>
      <c r="U125" s="7"/>
      <c r="V125" s="7"/>
      <c r="W125" s="7"/>
      <c r="X125" s="7"/>
      <c r="Y125" s="7"/>
      <c r="Z125" s="7"/>
    </row>
    <row r="126" spans="1:26" ht="15.75" customHeight="1">
      <c r="A126" s="7"/>
      <c r="B126" s="7"/>
      <c r="C126" s="29"/>
      <c r="D126" s="30"/>
      <c r="E126" s="30"/>
      <c r="F126" s="30"/>
      <c r="G126" s="30"/>
      <c r="H126" s="30"/>
      <c r="I126" s="7"/>
      <c r="J126" s="7"/>
      <c r="K126" s="7"/>
      <c r="L126" s="7"/>
      <c r="M126" s="7"/>
      <c r="N126" s="7"/>
      <c r="O126" s="7"/>
      <c r="P126" s="7"/>
      <c r="Q126" s="7"/>
      <c r="R126" s="7"/>
      <c r="S126" s="7"/>
      <c r="T126" s="7"/>
      <c r="U126" s="7"/>
      <c r="V126" s="7"/>
      <c r="W126" s="7"/>
      <c r="X126" s="7"/>
      <c r="Y126" s="7"/>
      <c r="Z126" s="7"/>
    </row>
    <row r="127" spans="1:26" ht="15.75" customHeight="1">
      <c r="A127" s="7"/>
      <c r="B127" s="7"/>
      <c r="C127" s="29"/>
      <c r="D127" s="30"/>
      <c r="E127" s="30"/>
      <c r="F127" s="30"/>
      <c r="G127" s="30"/>
      <c r="H127" s="30"/>
      <c r="I127" s="7"/>
      <c r="J127" s="7"/>
      <c r="K127" s="7"/>
      <c r="L127" s="7"/>
      <c r="M127" s="7"/>
      <c r="N127" s="7"/>
      <c r="O127" s="7"/>
      <c r="P127" s="7"/>
      <c r="Q127" s="7"/>
      <c r="R127" s="7"/>
      <c r="S127" s="7"/>
      <c r="T127" s="7"/>
      <c r="U127" s="7"/>
      <c r="V127" s="7"/>
      <c r="W127" s="7"/>
      <c r="X127" s="7"/>
      <c r="Y127" s="7"/>
      <c r="Z127" s="7"/>
    </row>
    <row r="128" spans="1:26" ht="15.75" customHeight="1">
      <c r="A128" s="7"/>
      <c r="B128" s="7"/>
      <c r="C128" s="29"/>
      <c r="D128" s="30"/>
      <c r="E128" s="30"/>
      <c r="F128" s="30"/>
      <c r="G128" s="30"/>
      <c r="H128" s="30"/>
      <c r="I128" s="7"/>
      <c r="J128" s="7"/>
      <c r="K128" s="7"/>
      <c r="L128" s="7"/>
      <c r="M128" s="7"/>
      <c r="N128" s="7"/>
      <c r="O128" s="7"/>
      <c r="P128" s="7"/>
      <c r="Q128" s="7"/>
      <c r="R128" s="7"/>
      <c r="S128" s="7"/>
      <c r="T128" s="7"/>
      <c r="U128" s="7"/>
      <c r="V128" s="7"/>
      <c r="W128" s="7"/>
      <c r="X128" s="7"/>
      <c r="Y128" s="7"/>
      <c r="Z128" s="7"/>
    </row>
    <row r="129" spans="1:26" ht="15.75" customHeight="1">
      <c r="A129" s="7"/>
      <c r="B129" s="7"/>
      <c r="C129" s="29"/>
      <c r="D129" s="30"/>
      <c r="E129" s="30"/>
      <c r="F129" s="30"/>
      <c r="G129" s="30"/>
      <c r="H129" s="30"/>
      <c r="I129" s="7"/>
      <c r="J129" s="7"/>
      <c r="K129" s="7"/>
      <c r="L129" s="7"/>
      <c r="M129" s="7"/>
      <c r="N129" s="7"/>
      <c r="O129" s="7"/>
      <c r="P129" s="7"/>
      <c r="Q129" s="7"/>
      <c r="R129" s="7"/>
      <c r="S129" s="7"/>
      <c r="T129" s="7"/>
      <c r="U129" s="7"/>
      <c r="V129" s="7"/>
      <c r="W129" s="7"/>
      <c r="X129" s="7"/>
      <c r="Y129" s="7"/>
      <c r="Z129" s="7"/>
    </row>
    <row r="130" spans="1:26" ht="15.75" customHeight="1">
      <c r="A130" s="7"/>
      <c r="B130" s="7"/>
      <c r="C130" s="29"/>
      <c r="D130" s="30"/>
      <c r="E130" s="30"/>
      <c r="F130" s="30"/>
      <c r="G130" s="30"/>
      <c r="H130" s="30"/>
      <c r="I130" s="7"/>
      <c r="J130" s="7"/>
      <c r="K130" s="7"/>
      <c r="L130" s="7"/>
      <c r="M130" s="7"/>
      <c r="N130" s="7"/>
      <c r="O130" s="7"/>
      <c r="P130" s="7"/>
      <c r="Q130" s="7"/>
      <c r="R130" s="7"/>
      <c r="S130" s="7"/>
      <c r="T130" s="7"/>
      <c r="U130" s="7"/>
      <c r="V130" s="7"/>
      <c r="W130" s="7"/>
      <c r="X130" s="7"/>
      <c r="Y130" s="7"/>
      <c r="Z130" s="7"/>
    </row>
    <row r="131" spans="1:26" ht="15.75" customHeight="1">
      <c r="A131" s="7"/>
      <c r="B131" s="7"/>
      <c r="C131" s="29"/>
      <c r="D131" s="30"/>
      <c r="E131" s="30"/>
      <c r="F131" s="30"/>
      <c r="G131" s="30"/>
      <c r="H131" s="30"/>
      <c r="I131" s="7"/>
      <c r="J131" s="7"/>
      <c r="K131" s="7"/>
      <c r="L131" s="7"/>
      <c r="M131" s="7"/>
      <c r="N131" s="7"/>
      <c r="O131" s="7"/>
      <c r="P131" s="7"/>
      <c r="Q131" s="7"/>
      <c r="R131" s="7"/>
      <c r="S131" s="7"/>
      <c r="T131" s="7"/>
      <c r="U131" s="7"/>
      <c r="V131" s="7"/>
      <c r="W131" s="7"/>
      <c r="X131" s="7"/>
      <c r="Y131" s="7"/>
      <c r="Z131" s="7"/>
    </row>
    <row r="132" spans="1:26" ht="15.75" customHeight="1">
      <c r="A132" s="7"/>
      <c r="B132" s="7"/>
      <c r="C132" s="29"/>
      <c r="D132" s="30"/>
      <c r="E132" s="30"/>
      <c r="F132" s="30"/>
      <c r="G132" s="30"/>
      <c r="H132" s="30"/>
      <c r="I132" s="7"/>
      <c r="J132" s="7"/>
      <c r="K132" s="7"/>
      <c r="L132" s="7"/>
      <c r="M132" s="7"/>
      <c r="N132" s="7"/>
      <c r="O132" s="7"/>
      <c r="P132" s="7"/>
      <c r="Q132" s="7"/>
      <c r="R132" s="7"/>
      <c r="S132" s="7"/>
      <c r="T132" s="7"/>
      <c r="U132" s="7"/>
      <c r="V132" s="7"/>
      <c r="W132" s="7"/>
      <c r="X132" s="7"/>
      <c r="Y132" s="7"/>
      <c r="Z132" s="7"/>
    </row>
    <row r="133" spans="1:26" ht="15.75" customHeight="1">
      <c r="A133" s="7"/>
      <c r="B133" s="7"/>
      <c r="C133" s="29"/>
      <c r="D133" s="30"/>
      <c r="E133" s="30"/>
      <c r="F133" s="30"/>
      <c r="G133" s="30"/>
      <c r="H133" s="30"/>
      <c r="I133" s="7"/>
      <c r="J133" s="7"/>
      <c r="K133" s="7"/>
      <c r="L133" s="7"/>
      <c r="M133" s="7"/>
      <c r="N133" s="7"/>
      <c r="O133" s="7"/>
      <c r="P133" s="7"/>
      <c r="Q133" s="7"/>
      <c r="R133" s="7"/>
      <c r="S133" s="7"/>
      <c r="T133" s="7"/>
      <c r="U133" s="7"/>
      <c r="V133" s="7"/>
      <c r="W133" s="7"/>
      <c r="X133" s="7"/>
      <c r="Y133" s="7"/>
      <c r="Z133" s="7"/>
    </row>
    <row r="134" spans="1:26" ht="15.75" customHeight="1">
      <c r="A134" s="7"/>
      <c r="B134" s="7"/>
      <c r="C134" s="29"/>
      <c r="D134" s="30"/>
      <c r="E134" s="30"/>
      <c r="F134" s="30"/>
      <c r="G134" s="30"/>
      <c r="H134" s="30"/>
      <c r="I134" s="7"/>
      <c r="J134" s="7"/>
      <c r="K134" s="7"/>
      <c r="L134" s="7"/>
      <c r="M134" s="7"/>
      <c r="N134" s="7"/>
      <c r="O134" s="7"/>
      <c r="P134" s="7"/>
      <c r="Q134" s="7"/>
      <c r="R134" s="7"/>
      <c r="S134" s="7"/>
      <c r="T134" s="7"/>
      <c r="U134" s="7"/>
      <c r="V134" s="7"/>
      <c r="W134" s="7"/>
      <c r="X134" s="7"/>
      <c r="Y134" s="7"/>
      <c r="Z134" s="7"/>
    </row>
    <row r="135" spans="1:26" ht="15.75" customHeight="1">
      <c r="A135" s="7"/>
      <c r="B135" s="7"/>
      <c r="C135" s="29"/>
      <c r="D135" s="30"/>
      <c r="E135" s="30"/>
      <c r="F135" s="30"/>
      <c r="G135" s="30"/>
      <c r="H135" s="30"/>
      <c r="I135" s="7"/>
      <c r="J135" s="7"/>
      <c r="K135" s="7"/>
      <c r="L135" s="7"/>
      <c r="M135" s="7"/>
      <c r="N135" s="7"/>
      <c r="O135" s="7"/>
      <c r="P135" s="7"/>
      <c r="Q135" s="7"/>
      <c r="R135" s="7"/>
      <c r="S135" s="7"/>
      <c r="T135" s="7"/>
      <c r="U135" s="7"/>
      <c r="V135" s="7"/>
      <c r="W135" s="7"/>
      <c r="X135" s="7"/>
      <c r="Y135" s="7"/>
      <c r="Z135" s="7"/>
    </row>
    <row r="136" spans="1:26" ht="15.75" customHeight="1">
      <c r="A136" s="7"/>
      <c r="B136" s="7"/>
      <c r="C136" s="29"/>
      <c r="D136" s="30"/>
      <c r="E136" s="30"/>
      <c r="F136" s="30"/>
      <c r="G136" s="30"/>
      <c r="H136" s="30"/>
      <c r="I136" s="7"/>
      <c r="J136" s="7"/>
      <c r="K136" s="7"/>
      <c r="L136" s="7"/>
      <c r="M136" s="7"/>
      <c r="N136" s="7"/>
      <c r="O136" s="7"/>
      <c r="P136" s="7"/>
      <c r="Q136" s="7"/>
      <c r="R136" s="7"/>
      <c r="S136" s="7"/>
      <c r="T136" s="7"/>
      <c r="U136" s="7"/>
      <c r="V136" s="7"/>
      <c r="W136" s="7"/>
      <c r="X136" s="7"/>
      <c r="Y136" s="7"/>
      <c r="Z136" s="7"/>
    </row>
    <row r="137" spans="1:26" ht="15.75" customHeight="1">
      <c r="A137" s="7"/>
      <c r="B137" s="7"/>
      <c r="C137" s="29"/>
      <c r="D137" s="30"/>
      <c r="E137" s="30"/>
      <c r="F137" s="30"/>
      <c r="G137" s="30"/>
      <c r="H137" s="30"/>
      <c r="I137" s="7"/>
      <c r="J137" s="7"/>
      <c r="K137" s="7"/>
      <c r="L137" s="7"/>
      <c r="M137" s="7"/>
      <c r="N137" s="7"/>
      <c r="O137" s="7"/>
      <c r="P137" s="7"/>
      <c r="Q137" s="7"/>
      <c r="R137" s="7"/>
      <c r="S137" s="7"/>
      <c r="T137" s="7"/>
      <c r="U137" s="7"/>
      <c r="V137" s="7"/>
      <c r="W137" s="7"/>
      <c r="X137" s="7"/>
      <c r="Y137" s="7"/>
      <c r="Z137" s="7"/>
    </row>
    <row r="138" spans="1:26" ht="15.75" customHeight="1">
      <c r="A138" s="7"/>
      <c r="B138" s="7"/>
      <c r="C138" s="29"/>
      <c r="D138" s="30"/>
      <c r="E138" s="30"/>
      <c r="F138" s="30"/>
      <c r="G138" s="30"/>
      <c r="H138" s="30"/>
      <c r="I138" s="7"/>
      <c r="J138" s="7"/>
      <c r="K138" s="7"/>
      <c r="L138" s="7"/>
      <c r="M138" s="7"/>
      <c r="N138" s="7"/>
      <c r="O138" s="7"/>
      <c r="P138" s="7"/>
      <c r="Q138" s="7"/>
      <c r="R138" s="7"/>
      <c r="S138" s="7"/>
      <c r="T138" s="7"/>
      <c r="U138" s="7"/>
      <c r="V138" s="7"/>
      <c r="W138" s="7"/>
      <c r="X138" s="7"/>
      <c r="Y138" s="7"/>
      <c r="Z138" s="7"/>
    </row>
    <row r="139" spans="1:26" ht="15.75" customHeight="1">
      <c r="A139" s="7"/>
      <c r="B139" s="7"/>
      <c r="C139" s="29"/>
      <c r="D139" s="30"/>
      <c r="E139" s="30"/>
      <c r="F139" s="30"/>
      <c r="G139" s="30"/>
      <c r="H139" s="30"/>
      <c r="I139" s="7"/>
      <c r="J139" s="7"/>
      <c r="K139" s="7"/>
      <c r="L139" s="7"/>
      <c r="M139" s="7"/>
      <c r="N139" s="7"/>
      <c r="O139" s="7"/>
      <c r="P139" s="7"/>
      <c r="Q139" s="7"/>
      <c r="R139" s="7"/>
      <c r="S139" s="7"/>
      <c r="T139" s="7"/>
      <c r="U139" s="7"/>
      <c r="V139" s="7"/>
      <c r="W139" s="7"/>
      <c r="X139" s="7"/>
      <c r="Y139" s="7"/>
      <c r="Z139" s="7"/>
    </row>
    <row r="140" spans="1:26" ht="15.75" customHeight="1">
      <c r="A140" s="7"/>
      <c r="B140" s="7"/>
      <c r="C140" s="29"/>
      <c r="D140" s="30"/>
      <c r="E140" s="30"/>
      <c r="F140" s="30"/>
      <c r="G140" s="30"/>
      <c r="H140" s="30"/>
      <c r="I140" s="7"/>
      <c r="J140" s="7"/>
      <c r="K140" s="7"/>
      <c r="L140" s="7"/>
      <c r="M140" s="7"/>
      <c r="N140" s="7"/>
      <c r="O140" s="7"/>
      <c r="P140" s="7"/>
      <c r="Q140" s="7"/>
      <c r="R140" s="7"/>
      <c r="S140" s="7"/>
      <c r="T140" s="7"/>
      <c r="U140" s="7"/>
      <c r="V140" s="7"/>
      <c r="W140" s="7"/>
      <c r="X140" s="7"/>
      <c r="Y140" s="7"/>
      <c r="Z140" s="7"/>
    </row>
    <row r="141" spans="1:26" ht="15.75" customHeight="1">
      <c r="A141" s="7"/>
      <c r="B141" s="7"/>
      <c r="C141" s="29"/>
      <c r="D141" s="30"/>
      <c r="E141" s="30"/>
      <c r="F141" s="30"/>
      <c r="G141" s="30"/>
      <c r="H141" s="30"/>
      <c r="I141" s="7"/>
      <c r="J141" s="7"/>
      <c r="K141" s="7"/>
      <c r="L141" s="7"/>
      <c r="M141" s="7"/>
      <c r="N141" s="7"/>
      <c r="O141" s="7"/>
      <c r="P141" s="7"/>
      <c r="Q141" s="7"/>
      <c r="R141" s="7"/>
      <c r="S141" s="7"/>
      <c r="T141" s="7"/>
      <c r="U141" s="7"/>
      <c r="V141" s="7"/>
      <c r="W141" s="7"/>
      <c r="X141" s="7"/>
      <c r="Y141" s="7"/>
      <c r="Z141" s="7"/>
    </row>
    <row r="142" spans="1:26" ht="15.75" customHeight="1">
      <c r="A142" s="7"/>
      <c r="B142" s="7"/>
      <c r="C142" s="29"/>
      <c r="D142" s="30"/>
      <c r="E142" s="30"/>
      <c r="F142" s="30"/>
      <c r="G142" s="30"/>
      <c r="H142" s="30"/>
      <c r="I142" s="7"/>
      <c r="J142" s="7"/>
      <c r="K142" s="7"/>
      <c r="L142" s="7"/>
      <c r="M142" s="7"/>
      <c r="N142" s="7"/>
      <c r="O142" s="7"/>
      <c r="P142" s="7"/>
      <c r="Q142" s="7"/>
      <c r="R142" s="7"/>
      <c r="S142" s="7"/>
      <c r="T142" s="7"/>
      <c r="U142" s="7"/>
      <c r="V142" s="7"/>
      <c r="W142" s="7"/>
      <c r="X142" s="7"/>
      <c r="Y142" s="7"/>
      <c r="Z142" s="7"/>
    </row>
    <row r="143" spans="1:26" ht="15.75" customHeight="1">
      <c r="A143" s="7"/>
      <c r="B143" s="7"/>
      <c r="C143" s="29"/>
      <c r="D143" s="30"/>
      <c r="E143" s="30"/>
      <c r="F143" s="30"/>
      <c r="G143" s="30"/>
      <c r="H143" s="30"/>
      <c r="I143" s="7"/>
      <c r="J143" s="7"/>
      <c r="K143" s="7"/>
      <c r="L143" s="7"/>
      <c r="M143" s="7"/>
      <c r="N143" s="7"/>
      <c r="O143" s="7"/>
      <c r="P143" s="7"/>
      <c r="Q143" s="7"/>
      <c r="R143" s="7"/>
      <c r="S143" s="7"/>
      <c r="T143" s="7"/>
      <c r="U143" s="7"/>
      <c r="V143" s="7"/>
      <c r="W143" s="7"/>
      <c r="X143" s="7"/>
      <c r="Y143" s="7"/>
      <c r="Z143" s="7"/>
    </row>
    <row r="144" spans="1:26" ht="15.75" customHeight="1">
      <c r="A144" s="7"/>
      <c r="B144" s="7"/>
      <c r="C144" s="29"/>
      <c r="D144" s="30"/>
      <c r="E144" s="30"/>
      <c r="F144" s="30"/>
      <c r="G144" s="30"/>
      <c r="H144" s="30"/>
      <c r="I144" s="7"/>
      <c r="J144" s="7"/>
      <c r="K144" s="7"/>
      <c r="L144" s="7"/>
      <c r="M144" s="7"/>
      <c r="N144" s="7"/>
      <c r="O144" s="7"/>
      <c r="P144" s="7"/>
      <c r="Q144" s="7"/>
      <c r="R144" s="7"/>
      <c r="S144" s="7"/>
      <c r="T144" s="7"/>
      <c r="U144" s="7"/>
      <c r="V144" s="7"/>
      <c r="W144" s="7"/>
      <c r="X144" s="7"/>
      <c r="Y144" s="7"/>
      <c r="Z144" s="7"/>
    </row>
    <row r="145" spans="1:26" ht="15.75" customHeight="1">
      <c r="A145" s="7"/>
      <c r="B145" s="7"/>
      <c r="C145" s="29"/>
      <c r="D145" s="30"/>
      <c r="E145" s="30"/>
      <c r="F145" s="30"/>
      <c r="G145" s="30"/>
      <c r="H145" s="30"/>
      <c r="I145" s="7"/>
      <c r="J145" s="7"/>
      <c r="K145" s="7"/>
      <c r="L145" s="7"/>
      <c r="M145" s="7"/>
      <c r="N145" s="7"/>
      <c r="O145" s="7"/>
      <c r="P145" s="7"/>
      <c r="Q145" s="7"/>
      <c r="R145" s="7"/>
      <c r="S145" s="7"/>
      <c r="T145" s="7"/>
      <c r="U145" s="7"/>
      <c r="V145" s="7"/>
      <c r="W145" s="7"/>
      <c r="X145" s="7"/>
      <c r="Y145" s="7"/>
      <c r="Z145" s="7"/>
    </row>
    <row r="146" spans="1:26" ht="15.75" customHeight="1">
      <c r="A146" s="7"/>
      <c r="B146" s="7"/>
      <c r="C146" s="29"/>
      <c r="D146" s="30"/>
      <c r="E146" s="30"/>
      <c r="F146" s="30"/>
      <c r="G146" s="30"/>
      <c r="H146" s="30"/>
      <c r="I146" s="7"/>
      <c r="J146" s="7"/>
      <c r="K146" s="7"/>
      <c r="L146" s="7"/>
      <c r="M146" s="7"/>
      <c r="N146" s="7"/>
      <c r="O146" s="7"/>
      <c r="P146" s="7"/>
      <c r="Q146" s="7"/>
      <c r="R146" s="7"/>
      <c r="S146" s="7"/>
      <c r="T146" s="7"/>
      <c r="U146" s="7"/>
      <c r="V146" s="7"/>
      <c r="W146" s="7"/>
      <c r="X146" s="7"/>
      <c r="Y146" s="7"/>
      <c r="Z146" s="7"/>
    </row>
    <row r="147" spans="1:26" ht="15.75" customHeight="1">
      <c r="A147" s="7"/>
      <c r="B147" s="7"/>
      <c r="C147" s="29"/>
      <c r="D147" s="30"/>
      <c r="E147" s="30"/>
      <c r="F147" s="30"/>
      <c r="G147" s="30"/>
      <c r="H147" s="30"/>
      <c r="I147" s="7"/>
      <c r="J147" s="7"/>
      <c r="K147" s="7"/>
      <c r="L147" s="7"/>
      <c r="M147" s="7"/>
      <c r="N147" s="7"/>
      <c r="O147" s="7"/>
      <c r="P147" s="7"/>
      <c r="Q147" s="7"/>
      <c r="R147" s="7"/>
      <c r="S147" s="7"/>
      <c r="T147" s="7"/>
      <c r="U147" s="7"/>
      <c r="V147" s="7"/>
      <c r="W147" s="7"/>
      <c r="X147" s="7"/>
      <c r="Y147" s="7"/>
      <c r="Z147" s="7"/>
    </row>
    <row r="148" spans="1:26" ht="15.75" customHeight="1">
      <c r="A148" s="7"/>
      <c r="B148" s="7"/>
      <c r="C148" s="29"/>
      <c r="D148" s="30"/>
      <c r="E148" s="30"/>
      <c r="F148" s="30"/>
      <c r="G148" s="30"/>
      <c r="H148" s="30"/>
      <c r="I148" s="7"/>
      <c r="J148" s="7"/>
      <c r="K148" s="7"/>
      <c r="L148" s="7"/>
      <c r="M148" s="7"/>
      <c r="N148" s="7"/>
      <c r="O148" s="7"/>
      <c r="P148" s="7"/>
      <c r="Q148" s="7"/>
      <c r="R148" s="7"/>
      <c r="S148" s="7"/>
      <c r="T148" s="7"/>
      <c r="U148" s="7"/>
      <c r="V148" s="7"/>
      <c r="W148" s="7"/>
      <c r="X148" s="7"/>
      <c r="Y148" s="7"/>
      <c r="Z148" s="7"/>
    </row>
    <row r="149" spans="1:26" ht="15.75" customHeight="1">
      <c r="A149" s="7"/>
      <c r="B149" s="7"/>
      <c r="C149" s="29"/>
      <c r="D149" s="30"/>
      <c r="E149" s="30"/>
      <c r="F149" s="30"/>
      <c r="G149" s="30"/>
      <c r="H149" s="30"/>
      <c r="I149" s="7"/>
      <c r="J149" s="7"/>
      <c r="K149" s="7"/>
      <c r="L149" s="7"/>
      <c r="M149" s="7"/>
      <c r="N149" s="7"/>
      <c r="O149" s="7"/>
      <c r="P149" s="7"/>
      <c r="Q149" s="7"/>
      <c r="R149" s="7"/>
      <c r="S149" s="7"/>
      <c r="T149" s="7"/>
      <c r="U149" s="7"/>
      <c r="V149" s="7"/>
      <c r="W149" s="7"/>
      <c r="X149" s="7"/>
      <c r="Y149" s="7"/>
      <c r="Z149" s="7"/>
    </row>
    <row r="150" spans="1:26" ht="15.75" customHeight="1">
      <c r="A150" s="7"/>
      <c r="B150" s="7"/>
      <c r="C150" s="29"/>
      <c r="D150" s="30"/>
      <c r="E150" s="30"/>
      <c r="F150" s="30"/>
      <c r="G150" s="30"/>
      <c r="H150" s="30"/>
      <c r="I150" s="7"/>
      <c r="J150" s="7"/>
      <c r="K150" s="7"/>
      <c r="L150" s="7"/>
      <c r="M150" s="7"/>
      <c r="N150" s="7"/>
      <c r="O150" s="7"/>
      <c r="P150" s="7"/>
      <c r="Q150" s="7"/>
      <c r="R150" s="7"/>
      <c r="S150" s="7"/>
      <c r="T150" s="7"/>
      <c r="U150" s="7"/>
      <c r="V150" s="7"/>
      <c r="W150" s="7"/>
      <c r="X150" s="7"/>
      <c r="Y150" s="7"/>
      <c r="Z150" s="7"/>
    </row>
    <row r="151" spans="1:26" ht="15.75" customHeight="1">
      <c r="A151" s="7"/>
      <c r="B151" s="7"/>
      <c r="C151" s="29"/>
      <c r="D151" s="30"/>
      <c r="E151" s="30"/>
      <c r="F151" s="30"/>
      <c r="G151" s="30"/>
      <c r="H151" s="30"/>
      <c r="I151" s="7"/>
      <c r="J151" s="7"/>
      <c r="K151" s="7"/>
      <c r="L151" s="7"/>
      <c r="M151" s="7"/>
      <c r="N151" s="7"/>
      <c r="O151" s="7"/>
      <c r="P151" s="7"/>
      <c r="Q151" s="7"/>
      <c r="R151" s="7"/>
      <c r="S151" s="7"/>
      <c r="T151" s="7"/>
      <c r="U151" s="7"/>
      <c r="V151" s="7"/>
      <c r="W151" s="7"/>
      <c r="X151" s="7"/>
      <c r="Y151" s="7"/>
      <c r="Z151" s="7"/>
    </row>
    <row r="152" spans="1:26" ht="15.75" customHeight="1">
      <c r="A152" s="7"/>
      <c r="B152" s="7"/>
      <c r="C152" s="29"/>
      <c r="D152" s="30"/>
      <c r="E152" s="30"/>
      <c r="F152" s="30"/>
      <c r="G152" s="30"/>
      <c r="H152" s="30"/>
      <c r="I152" s="7"/>
      <c r="J152" s="7"/>
      <c r="K152" s="7"/>
      <c r="L152" s="7"/>
      <c r="M152" s="7"/>
      <c r="N152" s="7"/>
      <c r="O152" s="7"/>
      <c r="P152" s="7"/>
      <c r="Q152" s="7"/>
      <c r="R152" s="7"/>
      <c r="S152" s="7"/>
      <c r="T152" s="7"/>
      <c r="U152" s="7"/>
      <c r="V152" s="7"/>
      <c r="W152" s="7"/>
      <c r="X152" s="7"/>
      <c r="Y152" s="7"/>
      <c r="Z152" s="7"/>
    </row>
    <row r="153" spans="1:26" ht="15.75" customHeight="1">
      <c r="A153" s="7"/>
      <c r="B153" s="7"/>
      <c r="C153" s="29"/>
      <c r="D153" s="30"/>
      <c r="E153" s="30"/>
      <c r="F153" s="30"/>
      <c r="G153" s="30"/>
      <c r="H153" s="30"/>
      <c r="I153" s="7"/>
      <c r="J153" s="7"/>
      <c r="K153" s="7"/>
      <c r="L153" s="7"/>
      <c r="M153" s="7"/>
      <c r="N153" s="7"/>
      <c r="O153" s="7"/>
      <c r="P153" s="7"/>
      <c r="Q153" s="7"/>
      <c r="R153" s="7"/>
      <c r="S153" s="7"/>
      <c r="T153" s="7"/>
      <c r="U153" s="7"/>
      <c r="V153" s="7"/>
      <c r="W153" s="7"/>
      <c r="X153" s="7"/>
      <c r="Y153" s="7"/>
      <c r="Z153" s="7"/>
    </row>
    <row r="154" spans="1:26" ht="15.75" customHeight="1">
      <c r="A154" s="7"/>
      <c r="B154" s="7"/>
      <c r="C154" s="29"/>
      <c r="D154" s="30"/>
      <c r="E154" s="30"/>
      <c r="F154" s="30"/>
      <c r="G154" s="30"/>
      <c r="H154" s="30"/>
      <c r="I154" s="7"/>
      <c r="J154" s="7"/>
      <c r="K154" s="7"/>
      <c r="L154" s="7"/>
      <c r="M154" s="7"/>
      <c r="N154" s="7"/>
      <c r="O154" s="7"/>
      <c r="P154" s="7"/>
      <c r="Q154" s="7"/>
      <c r="R154" s="7"/>
      <c r="S154" s="7"/>
      <c r="T154" s="7"/>
      <c r="U154" s="7"/>
      <c r="V154" s="7"/>
      <c r="W154" s="7"/>
      <c r="X154" s="7"/>
      <c r="Y154" s="7"/>
      <c r="Z154" s="7"/>
    </row>
    <row r="155" spans="1:26" ht="15.75" customHeight="1">
      <c r="A155" s="7"/>
      <c r="B155" s="7"/>
      <c r="C155" s="29"/>
      <c r="D155" s="30"/>
      <c r="E155" s="30"/>
      <c r="F155" s="30"/>
      <c r="G155" s="30"/>
      <c r="H155" s="30"/>
      <c r="I155" s="7"/>
      <c r="J155" s="7"/>
      <c r="K155" s="7"/>
      <c r="L155" s="7"/>
      <c r="M155" s="7"/>
      <c r="N155" s="7"/>
      <c r="O155" s="7"/>
      <c r="P155" s="7"/>
      <c r="Q155" s="7"/>
      <c r="R155" s="7"/>
      <c r="S155" s="7"/>
      <c r="T155" s="7"/>
      <c r="U155" s="7"/>
      <c r="V155" s="7"/>
      <c r="W155" s="7"/>
      <c r="X155" s="7"/>
      <c r="Y155" s="7"/>
      <c r="Z155" s="7"/>
    </row>
    <row r="156" spans="1:26" ht="15.75" customHeight="1">
      <c r="A156" s="7"/>
      <c r="B156" s="7"/>
      <c r="C156" s="29"/>
      <c r="D156" s="30"/>
      <c r="E156" s="30"/>
      <c r="F156" s="30"/>
      <c r="G156" s="30"/>
      <c r="H156" s="30"/>
      <c r="I156" s="7"/>
      <c r="J156" s="7"/>
      <c r="K156" s="7"/>
      <c r="L156" s="7"/>
      <c r="M156" s="7"/>
      <c r="N156" s="7"/>
      <c r="O156" s="7"/>
      <c r="P156" s="7"/>
      <c r="Q156" s="7"/>
      <c r="R156" s="7"/>
      <c r="S156" s="7"/>
      <c r="T156" s="7"/>
      <c r="U156" s="7"/>
      <c r="V156" s="7"/>
      <c r="W156" s="7"/>
      <c r="X156" s="7"/>
      <c r="Y156" s="7"/>
      <c r="Z156" s="7"/>
    </row>
    <row r="157" spans="1:26" ht="15.75" customHeight="1">
      <c r="A157" s="7"/>
      <c r="B157" s="7"/>
      <c r="C157" s="29"/>
      <c r="D157" s="30"/>
      <c r="E157" s="30"/>
      <c r="F157" s="30"/>
      <c r="G157" s="30"/>
      <c r="H157" s="30"/>
      <c r="I157" s="7"/>
      <c r="J157" s="7"/>
      <c r="K157" s="7"/>
      <c r="L157" s="7"/>
      <c r="M157" s="7"/>
      <c r="N157" s="7"/>
      <c r="O157" s="7"/>
      <c r="P157" s="7"/>
      <c r="Q157" s="7"/>
      <c r="R157" s="7"/>
      <c r="S157" s="7"/>
      <c r="T157" s="7"/>
      <c r="U157" s="7"/>
      <c r="V157" s="7"/>
      <c r="W157" s="7"/>
      <c r="X157" s="7"/>
      <c r="Y157" s="7"/>
      <c r="Z157" s="7"/>
    </row>
    <row r="158" spans="1:26" ht="15.75" customHeight="1">
      <c r="A158" s="7"/>
      <c r="B158" s="7"/>
      <c r="C158" s="29"/>
      <c r="D158" s="30"/>
      <c r="E158" s="30"/>
      <c r="F158" s="30"/>
      <c r="G158" s="30"/>
      <c r="H158" s="30"/>
      <c r="I158" s="7"/>
      <c r="J158" s="7"/>
      <c r="K158" s="7"/>
      <c r="L158" s="7"/>
      <c r="M158" s="7"/>
      <c r="N158" s="7"/>
      <c r="O158" s="7"/>
      <c r="P158" s="7"/>
      <c r="Q158" s="7"/>
      <c r="R158" s="7"/>
      <c r="S158" s="7"/>
      <c r="T158" s="7"/>
      <c r="U158" s="7"/>
      <c r="V158" s="7"/>
      <c r="W158" s="7"/>
      <c r="X158" s="7"/>
      <c r="Y158" s="7"/>
      <c r="Z158" s="7"/>
    </row>
    <row r="159" spans="1:26" ht="15.75" customHeight="1">
      <c r="A159" s="7"/>
      <c r="B159" s="7"/>
      <c r="C159" s="29"/>
      <c r="D159" s="30"/>
      <c r="E159" s="30"/>
      <c r="F159" s="30"/>
      <c r="G159" s="30"/>
      <c r="H159" s="30"/>
      <c r="I159" s="7"/>
      <c r="J159" s="7"/>
      <c r="K159" s="7"/>
      <c r="L159" s="7"/>
      <c r="M159" s="7"/>
      <c r="N159" s="7"/>
      <c r="O159" s="7"/>
      <c r="P159" s="7"/>
      <c r="Q159" s="7"/>
      <c r="R159" s="7"/>
      <c r="S159" s="7"/>
      <c r="T159" s="7"/>
      <c r="U159" s="7"/>
      <c r="V159" s="7"/>
      <c r="W159" s="7"/>
      <c r="X159" s="7"/>
      <c r="Y159" s="7"/>
      <c r="Z159" s="7"/>
    </row>
    <row r="160" spans="1:26" ht="15.75" customHeight="1">
      <c r="A160" s="7"/>
      <c r="B160" s="7"/>
      <c r="C160" s="29"/>
      <c r="D160" s="30"/>
      <c r="E160" s="30"/>
      <c r="F160" s="30"/>
      <c r="G160" s="30"/>
      <c r="H160" s="30"/>
      <c r="I160" s="7"/>
      <c r="J160" s="7"/>
      <c r="K160" s="7"/>
      <c r="L160" s="7"/>
      <c r="M160" s="7"/>
      <c r="N160" s="7"/>
      <c r="O160" s="7"/>
      <c r="P160" s="7"/>
      <c r="Q160" s="7"/>
      <c r="R160" s="7"/>
      <c r="S160" s="7"/>
      <c r="T160" s="7"/>
      <c r="U160" s="7"/>
      <c r="V160" s="7"/>
      <c r="W160" s="7"/>
      <c r="X160" s="7"/>
      <c r="Y160" s="7"/>
      <c r="Z160" s="7"/>
    </row>
    <row r="161" spans="1:26" ht="15.75" customHeight="1">
      <c r="A161" s="7"/>
      <c r="B161" s="7"/>
      <c r="C161" s="29"/>
      <c r="D161" s="30"/>
      <c r="E161" s="30"/>
      <c r="F161" s="30"/>
      <c r="G161" s="30"/>
      <c r="H161" s="30"/>
      <c r="I161" s="7"/>
      <c r="J161" s="7"/>
      <c r="K161" s="7"/>
      <c r="L161" s="7"/>
      <c r="M161" s="7"/>
      <c r="N161" s="7"/>
      <c r="O161" s="7"/>
      <c r="P161" s="7"/>
      <c r="Q161" s="7"/>
      <c r="R161" s="7"/>
      <c r="S161" s="7"/>
      <c r="T161" s="7"/>
      <c r="U161" s="7"/>
      <c r="V161" s="7"/>
      <c r="W161" s="7"/>
      <c r="X161" s="7"/>
      <c r="Y161" s="7"/>
      <c r="Z161" s="7"/>
    </row>
    <row r="162" spans="1:26" ht="15.75" customHeight="1">
      <c r="A162" s="7"/>
      <c r="B162" s="7"/>
      <c r="C162" s="29"/>
      <c r="D162" s="30"/>
      <c r="E162" s="30"/>
      <c r="F162" s="30"/>
      <c r="G162" s="30"/>
      <c r="H162" s="30"/>
      <c r="I162" s="7"/>
      <c r="J162" s="7"/>
      <c r="K162" s="7"/>
      <c r="L162" s="7"/>
      <c r="M162" s="7"/>
      <c r="N162" s="7"/>
      <c r="O162" s="7"/>
      <c r="P162" s="7"/>
      <c r="Q162" s="7"/>
      <c r="R162" s="7"/>
      <c r="S162" s="7"/>
      <c r="T162" s="7"/>
      <c r="U162" s="7"/>
      <c r="V162" s="7"/>
      <c r="W162" s="7"/>
      <c r="X162" s="7"/>
      <c r="Y162" s="7"/>
      <c r="Z162" s="7"/>
    </row>
    <row r="163" spans="1:26" ht="15.75" customHeight="1">
      <c r="A163" s="7"/>
      <c r="B163" s="7"/>
      <c r="C163" s="29"/>
      <c r="D163" s="30"/>
      <c r="E163" s="30"/>
      <c r="F163" s="30"/>
      <c r="G163" s="30"/>
      <c r="H163" s="30"/>
      <c r="I163" s="7"/>
      <c r="J163" s="7"/>
      <c r="K163" s="7"/>
      <c r="L163" s="7"/>
      <c r="M163" s="7"/>
      <c r="N163" s="7"/>
      <c r="O163" s="7"/>
      <c r="P163" s="7"/>
      <c r="Q163" s="7"/>
      <c r="R163" s="7"/>
      <c r="S163" s="7"/>
      <c r="T163" s="7"/>
      <c r="U163" s="7"/>
      <c r="V163" s="7"/>
      <c r="W163" s="7"/>
      <c r="X163" s="7"/>
      <c r="Y163" s="7"/>
      <c r="Z163" s="7"/>
    </row>
    <row r="164" spans="1:26" ht="15.75" customHeight="1">
      <c r="A164" s="7"/>
      <c r="B164" s="7"/>
      <c r="C164" s="29"/>
      <c r="D164" s="30"/>
      <c r="E164" s="30"/>
      <c r="F164" s="30"/>
      <c r="G164" s="30"/>
      <c r="H164" s="30"/>
      <c r="I164" s="7"/>
      <c r="J164" s="7"/>
      <c r="K164" s="7"/>
      <c r="L164" s="7"/>
      <c r="M164" s="7"/>
      <c r="N164" s="7"/>
      <c r="O164" s="7"/>
      <c r="P164" s="7"/>
      <c r="Q164" s="7"/>
      <c r="R164" s="7"/>
      <c r="S164" s="7"/>
      <c r="T164" s="7"/>
      <c r="U164" s="7"/>
      <c r="V164" s="7"/>
      <c r="W164" s="7"/>
      <c r="X164" s="7"/>
      <c r="Y164" s="7"/>
      <c r="Z164" s="7"/>
    </row>
    <row r="165" spans="1:26" ht="15.75" customHeight="1">
      <c r="A165" s="7"/>
      <c r="B165" s="7"/>
      <c r="C165" s="29"/>
      <c r="D165" s="30"/>
      <c r="E165" s="30"/>
      <c r="F165" s="30"/>
      <c r="G165" s="30"/>
      <c r="H165" s="30"/>
      <c r="I165" s="7"/>
      <c r="J165" s="7"/>
      <c r="K165" s="7"/>
      <c r="L165" s="7"/>
      <c r="M165" s="7"/>
      <c r="N165" s="7"/>
      <c r="O165" s="7"/>
      <c r="P165" s="7"/>
      <c r="Q165" s="7"/>
      <c r="R165" s="7"/>
      <c r="S165" s="7"/>
      <c r="T165" s="7"/>
      <c r="U165" s="7"/>
      <c r="V165" s="7"/>
      <c r="W165" s="7"/>
      <c r="X165" s="7"/>
      <c r="Y165" s="7"/>
      <c r="Z165" s="7"/>
    </row>
    <row r="166" spans="1:26" ht="15.75" customHeight="1">
      <c r="A166" s="7"/>
      <c r="B166" s="7"/>
      <c r="C166" s="29"/>
      <c r="D166" s="30"/>
      <c r="E166" s="30"/>
      <c r="F166" s="30"/>
      <c r="G166" s="30"/>
      <c r="H166" s="30"/>
      <c r="I166" s="7"/>
      <c r="J166" s="7"/>
      <c r="K166" s="7"/>
      <c r="L166" s="7"/>
      <c r="M166" s="7"/>
      <c r="N166" s="7"/>
      <c r="O166" s="7"/>
      <c r="P166" s="7"/>
      <c r="Q166" s="7"/>
      <c r="R166" s="7"/>
      <c r="S166" s="7"/>
      <c r="T166" s="7"/>
      <c r="U166" s="7"/>
      <c r="V166" s="7"/>
      <c r="W166" s="7"/>
      <c r="X166" s="7"/>
      <c r="Y166" s="7"/>
      <c r="Z166" s="7"/>
    </row>
    <row r="167" spans="1:26" ht="15.75" customHeight="1">
      <c r="A167" s="7"/>
      <c r="B167" s="7"/>
      <c r="C167" s="29"/>
      <c r="D167" s="30"/>
      <c r="E167" s="30"/>
      <c r="F167" s="30"/>
      <c r="G167" s="30"/>
      <c r="H167" s="30"/>
      <c r="I167" s="7"/>
      <c r="J167" s="7"/>
      <c r="K167" s="7"/>
      <c r="L167" s="7"/>
      <c r="M167" s="7"/>
      <c r="N167" s="7"/>
      <c r="O167" s="7"/>
      <c r="P167" s="7"/>
      <c r="Q167" s="7"/>
      <c r="R167" s="7"/>
      <c r="S167" s="7"/>
      <c r="T167" s="7"/>
      <c r="U167" s="7"/>
      <c r="V167" s="7"/>
      <c r="W167" s="7"/>
      <c r="X167" s="7"/>
      <c r="Y167" s="7"/>
      <c r="Z167" s="7"/>
    </row>
    <row r="168" spans="1:26" ht="15.75" customHeight="1">
      <c r="A168" s="7"/>
      <c r="B168" s="7"/>
      <c r="C168" s="29"/>
      <c r="D168" s="30"/>
      <c r="E168" s="30"/>
      <c r="F168" s="30"/>
      <c r="G168" s="30"/>
      <c r="H168" s="30"/>
      <c r="I168" s="7"/>
      <c r="J168" s="7"/>
      <c r="K168" s="7"/>
      <c r="L168" s="7"/>
      <c r="M168" s="7"/>
      <c r="N168" s="7"/>
      <c r="O168" s="7"/>
      <c r="P168" s="7"/>
      <c r="Q168" s="7"/>
      <c r="R168" s="7"/>
      <c r="S168" s="7"/>
      <c r="T168" s="7"/>
      <c r="U168" s="7"/>
      <c r="V168" s="7"/>
      <c r="W168" s="7"/>
      <c r="X168" s="7"/>
      <c r="Y168" s="7"/>
      <c r="Z168" s="7"/>
    </row>
    <row r="169" spans="1:26" ht="15.75" customHeight="1">
      <c r="A169" s="7"/>
      <c r="B169" s="7"/>
      <c r="C169" s="29"/>
      <c r="D169" s="30"/>
      <c r="E169" s="30"/>
      <c r="F169" s="30"/>
      <c r="G169" s="30"/>
      <c r="H169" s="30"/>
      <c r="I169" s="7"/>
      <c r="J169" s="7"/>
      <c r="K169" s="7"/>
      <c r="L169" s="7"/>
      <c r="M169" s="7"/>
      <c r="N169" s="7"/>
      <c r="O169" s="7"/>
      <c r="P169" s="7"/>
      <c r="Q169" s="7"/>
      <c r="R169" s="7"/>
      <c r="S169" s="7"/>
      <c r="T169" s="7"/>
      <c r="U169" s="7"/>
      <c r="V169" s="7"/>
      <c r="W169" s="7"/>
      <c r="X169" s="7"/>
      <c r="Y169" s="7"/>
      <c r="Z169" s="7"/>
    </row>
    <row r="170" spans="1:26" ht="15.75" customHeight="1">
      <c r="A170" s="7"/>
      <c r="B170" s="7"/>
      <c r="C170" s="29"/>
      <c r="D170" s="30"/>
      <c r="E170" s="30"/>
      <c r="F170" s="30"/>
      <c r="G170" s="30"/>
      <c r="H170" s="30"/>
      <c r="I170" s="7"/>
      <c r="J170" s="7"/>
      <c r="K170" s="7"/>
      <c r="L170" s="7"/>
      <c r="M170" s="7"/>
      <c r="N170" s="7"/>
      <c r="O170" s="7"/>
      <c r="P170" s="7"/>
      <c r="Q170" s="7"/>
      <c r="R170" s="7"/>
      <c r="S170" s="7"/>
      <c r="T170" s="7"/>
      <c r="U170" s="7"/>
      <c r="V170" s="7"/>
      <c r="W170" s="7"/>
      <c r="X170" s="7"/>
      <c r="Y170" s="7"/>
      <c r="Z170" s="7"/>
    </row>
    <row r="171" spans="1:26" ht="15.75" customHeight="1">
      <c r="A171" s="7"/>
      <c r="B171" s="7"/>
      <c r="C171" s="29"/>
      <c r="D171" s="30"/>
      <c r="E171" s="30"/>
      <c r="F171" s="30"/>
      <c r="G171" s="30"/>
      <c r="H171" s="30"/>
      <c r="I171" s="7"/>
      <c r="J171" s="7"/>
      <c r="K171" s="7"/>
      <c r="L171" s="7"/>
      <c r="M171" s="7"/>
      <c r="N171" s="7"/>
      <c r="O171" s="7"/>
      <c r="P171" s="7"/>
      <c r="Q171" s="7"/>
      <c r="R171" s="7"/>
      <c r="S171" s="7"/>
      <c r="T171" s="7"/>
      <c r="U171" s="7"/>
      <c r="V171" s="7"/>
      <c r="W171" s="7"/>
      <c r="X171" s="7"/>
      <c r="Y171" s="7"/>
      <c r="Z171" s="7"/>
    </row>
    <row r="172" spans="1:26" ht="15.75" customHeight="1">
      <c r="A172" s="7"/>
      <c r="B172" s="7"/>
      <c r="C172" s="29"/>
      <c r="D172" s="30"/>
      <c r="E172" s="30"/>
      <c r="F172" s="30"/>
      <c r="G172" s="30"/>
      <c r="H172" s="30"/>
      <c r="I172" s="7"/>
      <c r="J172" s="7"/>
      <c r="K172" s="7"/>
      <c r="L172" s="7"/>
      <c r="M172" s="7"/>
      <c r="N172" s="7"/>
      <c r="O172" s="7"/>
      <c r="P172" s="7"/>
      <c r="Q172" s="7"/>
      <c r="R172" s="7"/>
      <c r="S172" s="7"/>
      <c r="T172" s="7"/>
      <c r="U172" s="7"/>
      <c r="V172" s="7"/>
      <c r="W172" s="7"/>
      <c r="X172" s="7"/>
      <c r="Y172" s="7"/>
      <c r="Z172" s="7"/>
    </row>
    <row r="173" spans="1:26" ht="15.75" customHeight="1">
      <c r="A173" s="7"/>
      <c r="B173" s="7"/>
      <c r="C173" s="29"/>
      <c r="D173" s="30"/>
      <c r="E173" s="30"/>
      <c r="F173" s="30"/>
      <c r="G173" s="30"/>
      <c r="H173" s="30"/>
      <c r="I173" s="7"/>
      <c r="J173" s="7"/>
      <c r="K173" s="7"/>
      <c r="L173" s="7"/>
      <c r="M173" s="7"/>
      <c r="N173" s="7"/>
      <c r="O173" s="7"/>
      <c r="P173" s="7"/>
      <c r="Q173" s="7"/>
      <c r="R173" s="7"/>
      <c r="S173" s="7"/>
      <c r="T173" s="7"/>
      <c r="U173" s="7"/>
      <c r="V173" s="7"/>
      <c r="W173" s="7"/>
      <c r="X173" s="7"/>
      <c r="Y173" s="7"/>
      <c r="Z173" s="7"/>
    </row>
    <row r="174" spans="1:26" ht="15.75" customHeight="1">
      <c r="A174" s="7"/>
      <c r="B174" s="7"/>
      <c r="C174" s="29"/>
      <c r="D174" s="30"/>
      <c r="E174" s="30"/>
      <c r="F174" s="30"/>
      <c r="G174" s="30"/>
      <c r="H174" s="30"/>
      <c r="I174" s="7"/>
      <c r="J174" s="7"/>
      <c r="K174" s="7"/>
      <c r="L174" s="7"/>
      <c r="M174" s="7"/>
      <c r="N174" s="7"/>
      <c r="O174" s="7"/>
      <c r="P174" s="7"/>
      <c r="Q174" s="7"/>
      <c r="R174" s="7"/>
      <c r="S174" s="7"/>
      <c r="T174" s="7"/>
      <c r="U174" s="7"/>
      <c r="V174" s="7"/>
      <c r="W174" s="7"/>
      <c r="X174" s="7"/>
      <c r="Y174" s="7"/>
      <c r="Z174" s="7"/>
    </row>
    <row r="175" spans="1:26" ht="15.75" customHeight="1">
      <c r="A175" s="7"/>
      <c r="B175" s="7"/>
      <c r="C175" s="29"/>
      <c r="D175" s="30"/>
      <c r="E175" s="30"/>
      <c r="F175" s="30"/>
      <c r="G175" s="30"/>
      <c r="H175" s="30"/>
      <c r="I175" s="7"/>
      <c r="J175" s="7"/>
      <c r="K175" s="7"/>
      <c r="L175" s="7"/>
      <c r="M175" s="7"/>
      <c r="N175" s="7"/>
      <c r="O175" s="7"/>
      <c r="P175" s="7"/>
      <c r="Q175" s="7"/>
      <c r="R175" s="7"/>
      <c r="S175" s="7"/>
      <c r="T175" s="7"/>
      <c r="U175" s="7"/>
      <c r="V175" s="7"/>
      <c r="W175" s="7"/>
      <c r="X175" s="7"/>
      <c r="Y175" s="7"/>
      <c r="Z175" s="7"/>
    </row>
    <row r="176" spans="1:26" ht="15.75" customHeight="1">
      <c r="A176" s="7"/>
      <c r="B176" s="7"/>
      <c r="C176" s="29"/>
      <c r="D176" s="30"/>
      <c r="E176" s="30"/>
      <c r="F176" s="30"/>
      <c r="G176" s="30"/>
      <c r="H176" s="30"/>
      <c r="I176" s="7"/>
      <c r="J176" s="7"/>
      <c r="K176" s="7"/>
      <c r="L176" s="7"/>
      <c r="M176" s="7"/>
      <c r="N176" s="7"/>
      <c r="O176" s="7"/>
      <c r="P176" s="7"/>
      <c r="Q176" s="7"/>
      <c r="R176" s="7"/>
      <c r="S176" s="7"/>
      <c r="T176" s="7"/>
      <c r="U176" s="7"/>
      <c r="V176" s="7"/>
      <c r="W176" s="7"/>
      <c r="X176" s="7"/>
      <c r="Y176" s="7"/>
      <c r="Z176" s="7"/>
    </row>
    <row r="177" spans="1:26" ht="15.75" customHeight="1">
      <c r="A177" s="7"/>
      <c r="B177" s="7"/>
      <c r="C177" s="29"/>
      <c r="D177" s="30"/>
      <c r="E177" s="30"/>
      <c r="F177" s="30"/>
      <c r="G177" s="30"/>
      <c r="H177" s="30"/>
      <c r="I177" s="7"/>
      <c r="J177" s="7"/>
      <c r="K177" s="7"/>
      <c r="L177" s="7"/>
      <c r="M177" s="7"/>
      <c r="N177" s="7"/>
      <c r="O177" s="7"/>
      <c r="P177" s="7"/>
      <c r="Q177" s="7"/>
      <c r="R177" s="7"/>
      <c r="S177" s="7"/>
      <c r="T177" s="7"/>
      <c r="U177" s="7"/>
      <c r="V177" s="7"/>
      <c r="W177" s="7"/>
      <c r="X177" s="7"/>
      <c r="Y177" s="7"/>
      <c r="Z177" s="7"/>
    </row>
    <row r="178" spans="1:26" ht="15.75" customHeight="1">
      <c r="A178" s="7"/>
      <c r="B178" s="7"/>
      <c r="C178" s="29"/>
      <c r="D178" s="30"/>
      <c r="E178" s="30"/>
      <c r="F178" s="30"/>
      <c r="G178" s="30"/>
      <c r="H178" s="30"/>
      <c r="I178" s="7"/>
      <c r="J178" s="7"/>
      <c r="K178" s="7"/>
      <c r="L178" s="7"/>
      <c r="M178" s="7"/>
      <c r="N178" s="7"/>
      <c r="O178" s="7"/>
      <c r="P178" s="7"/>
      <c r="Q178" s="7"/>
      <c r="R178" s="7"/>
      <c r="S178" s="7"/>
      <c r="T178" s="7"/>
      <c r="U178" s="7"/>
      <c r="V178" s="7"/>
      <c r="W178" s="7"/>
      <c r="X178" s="7"/>
      <c r="Y178" s="7"/>
      <c r="Z178" s="7"/>
    </row>
    <row r="179" spans="1:26" ht="15.75" customHeight="1">
      <c r="A179" s="7"/>
      <c r="B179" s="7"/>
      <c r="C179" s="29"/>
      <c r="D179" s="30"/>
      <c r="E179" s="30"/>
      <c r="F179" s="30"/>
      <c r="G179" s="30"/>
      <c r="H179" s="30"/>
      <c r="I179" s="7"/>
      <c r="J179" s="7"/>
      <c r="K179" s="7"/>
      <c r="L179" s="7"/>
      <c r="M179" s="7"/>
      <c r="N179" s="7"/>
      <c r="O179" s="7"/>
      <c r="P179" s="7"/>
      <c r="Q179" s="7"/>
      <c r="R179" s="7"/>
      <c r="S179" s="7"/>
      <c r="T179" s="7"/>
      <c r="U179" s="7"/>
      <c r="V179" s="7"/>
      <c r="W179" s="7"/>
      <c r="X179" s="7"/>
      <c r="Y179" s="7"/>
      <c r="Z179" s="7"/>
    </row>
    <row r="180" spans="1:26" ht="15.75" customHeight="1">
      <c r="A180" s="7"/>
      <c r="B180" s="7"/>
      <c r="C180" s="29"/>
      <c r="D180" s="30"/>
      <c r="E180" s="30"/>
      <c r="F180" s="30"/>
      <c r="G180" s="30"/>
      <c r="H180" s="30"/>
      <c r="I180" s="7"/>
      <c r="J180" s="7"/>
      <c r="K180" s="7"/>
      <c r="L180" s="7"/>
      <c r="M180" s="7"/>
      <c r="N180" s="7"/>
      <c r="O180" s="7"/>
      <c r="P180" s="7"/>
      <c r="Q180" s="7"/>
      <c r="R180" s="7"/>
      <c r="S180" s="7"/>
      <c r="T180" s="7"/>
      <c r="U180" s="7"/>
      <c r="V180" s="7"/>
      <c r="W180" s="7"/>
      <c r="X180" s="7"/>
      <c r="Y180" s="7"/>
      <c r="Z180" s="7"/>
    </row>
    <row r="181" spans="1:26" ht="15.75" customHeight="1">
      <c r="A181" s="7"/>
      <c r="B181" s="7"/>
      <c r="C181" s="29"/>
      <c r="D181" s="30"/>
      <c r="E181" s="30"/>
      <c r="F181" s="30"/>
      <c r="G181" s="30"/>
      <c r="H181" s="30"/>
      <c r="I181" s="7"/>
      <c r="J181" s="7"/>
      <c r="K181" s="7"/>
      <c r="L181" s="7"/>
      <c r="M181" s="7"/>
      <c r="N181" s="7"/>
      <c r="O181" s="7"/>
      <c r="P181" s="7"/>
      <c r="Q181" s="7"/>
      <c r="R181" s="7"/>
      <c r="S181" s="7"/>
      <c r="T181" s="7"/>
      <c r="U181" s="7"/>
      <c r="V181" s="7"/>
      <c r="W181" s="7"/>
      <c r="X181" s="7"/>
      <c r="Y181" s="7"/>
      <c r="Z181" s="7"/>
    </row>
    <row r="182" spans="1:26" ht="15.75" customHeight="1">
      <c r="A182" s="7"/>
      <c r="B182" s="7"/>
      <c r="C182" s="29"/>
      <c r="D182" s="30"/>
      <c r="E182" s="30"/>
      <c r="F182" s="30"/>
      <c r="G182" s="30"/>
      <c r="H182" s="30"/>
      <c r="I182" s="7"/>
      <c r="J182" s="7"/>
      <c r="K182" s="7"/>
      <c r="L182" s="7"/>
      <c r="M182" s="7"/>
      <c r="N182" s="7"/>
      <c r="O182" s="7"/>
      <c r="P182" s="7"/>
      <c r="Q182" s="7"/>
      <c r="R182" s="7"/>
      <c r="S182" s="7"/>
      <c r="T182" s="7"/>
      <c r="U182" s="7"/>
      <c r="V182" s="7"/>
      <c r="W182" s="7"/>
      <c r="X182" s="7"/>
      <c r="Y182" s="7"/>
      <c r="Z182" s="7"/>
    </row>
    <row r="183" spans="1:26" ht="15.75" customHeight="1">
      <c r="A183" s="7"/>
      <c r="B183" s="7"/>
      <c r="C183" s="29"/>
      <c r="D183" s="30"/>
      <c r="E183" s="30"/>
      <c r="F183" s="30"/>
      <c r="G183" s="30"/>
      <c r="H183" s="30"/>
      <c r="I183" s="7"/>
      <c r="J183" s="7"/>
      <c r="K183" s="7"/>
      <c r="L183" s="7"/>
      <c r="M183" s="7"/>
      <c r="N183" s="7"/>
      <c r="O183" s="7"/>
      <c r="P183" s="7"/>
      <c r="Q183" s="7"/>
      <c r="R183" s="7"/>
      <c r="S183" s="7"/>
      <c r="T183" s="7"/>
      <c r="U183" s="7"/>
      <c r="V183" s="7"/>
      <c r="W183" s="7"/>
      <c r="X183" s="7"/>
      <c r="Y183" s="7"/>
      <c r="Z183" s="7"/>
    </row>
    <row r="184" spans="1:26" ht="15.75" customHeight="1">
      <c r="A184" s="7"/>
      <c r="B184" s="7"/>
      <c r="C184" s="29"/>
      <c r="D184" s="30"/>
      <c r="E184" s="30"/>
      <c r="F184" s="30"/>
      <c r="G184" s="30"/>
      <c r="H184" s="30"/>
      <c r="I184" s="7"/>
      <c r="J184" s="7"/>
      <c r="K184" s="7"/>
      <c r="L184" s="7"/>
      <c r="M184" s="7"/>
      <c r="N184" s="7"/>
      <c r="O184" s="7"/>
      <c r="P184" s="7"/>
      <c r="Q184" s="7"/>
      <c r="R184" s="7"/>
      <c r="S184" s="7"/>
      <c r="T184" s="7"/>
      <c r="U184" s="7"/>
      <c r="V184" s="7"/>
      <c r="W184" s="7"/>
      <c r="X184" s="7"/>
      <c r="Y184" s="7"/>
      <c r="Z184" s="7"/>
    </row>
    <row r="185" spans="1:26" ht="15.75" customHeight="1">
      <c r="A185" s="7"/>
      <c r="B185" s="7"/>
      <c r="C185" s="29"/>
      <c r="D185" s="30"/>
      <c r="E185" s="30"/>
      <c r="F185" s="30"/>
      <c r="G185" s="30"/>
      <c r="H185" s="30"/>
      <c r="I185" s="7"/>
      <c r="J185" s="7"/>
      <c r="K185" s="7"/>
      <c r="L185" s="7"/>
      <c r="M185" s="7"/>
      <c r="N185" s="7"/>
      <c r="O185" s="7"/>
      <c r="P185" s="7"/>
      <c r="Q185" s="7"/>
      <c r="R185" s="7"/>
      <c r="S185" s="7"/>
      <c r="T185" s="7"/>
      <c r="U185" s="7"/>
      <c r="V185" s="7"/>
      <c r="W185" s="7"/>
      <c r="X185" s="7"/>
      <c r="Y185" s="7"/>
      <c r="Z185" s="7"/>
    </row>
    <row r="186" spans="1:26" ht="15.75" customHeight="1">
      <c r="A186" s="7"/>
      <c r="B186" s="7"/>
      <c r="C186" s="29"/>
      <c r="D186" s="30"/>
      <c r="E186" s="30"/>
      <c r="F186" s="30"/>
      <c r="G186" s="30"/>
      <c r="H186" s="30"/>
      <c r="I186" s="7"/>
      <c r="J186" s="7"/>
      <c r="K186" s="7"/>
      <c r="L186" s="7"/>
      <c r="M186" s="7"/>
      <c r="N186" s="7"/>
      <c r="O186" s="7"/>
      <c r="P186" s="7"/>
      <c r="Q186" s="7"/>
      <c r="R186" s="7"/>
      <c r="S186" s="7"/>
      <c r="T186" s="7"/>
      <c r="U186" s="7"/>
      <c r="V186" s="7"/>
      <c r="W186" s="7"/>
      <c r="X186" s="7"/>
      <c r="Y186" s="7"/>
      <c r="Z186" s="7"/>
    </row>
    <row r="187" spans="1:26" ht="15.75" customHeight="1">
      <c r="A187" s="7"/>
      <c r="B187" s="7"/>
      <c r="C187" s="29"/>
      <c r="D187" s="30"/>
      <c r="E187" s="30"/>
      <c r="F187" s="30"/>
      <c r="G187" s="30"/>
      <c r="H187" s="30"/>
      <c r="I187" s="7"/>
      <c r="J187" s="7"/>
      <c r="K187" s="7"/>
      <c r="L187" s="7"/>
      <c r="M187" s="7"/>
      <c r="N187" s="7"/>
      <c r="O187" s="7"/>
      <c r="P187" s="7"/>
      <c r="Q187" s="7"/>
      <c r="R187" s="7"/>
      <c r="S187" s="7"/>
      <c r="T187" s="7"/>
      <c r="U187" s="7"/>
      <c r="V187" s="7"/>
      <c r="W187" s="7"/>
      <c r="X187" s="7"/>
      <c r="Y187" s="7"/>
      <c r="Z187" s="7"/>
    </row>
    <row r="188" spans="1:26" ht="15.75" customHeight="1">
      <c r="A188" s="7"/>
      <c r="B188" s="7"/>
      <c r="C188" s="29"/>
      <c r="D188" s="30"/>
      <c r="E188" s="30"/>
      <c r="F188" s="30"/>
      <c r="G188" s="30"/>
      <c r="H188" s="30"/>
      <c r="I188" s="7"/>
      <c r="J188" s="7"/>
      <c r="K188" s="7"/>
      <c r="L188" s="7"/>
      <c r="M188" s="7"/>
      <c r="N188" s="7"/>
      <c r="O188" s="7"/>
      <c r="P188" s="7"/>
      <c r="Q188" s="7"/>
      <c r="R188" s="7"/>
      <c r="S188" s="7"/>
      <c r="T188" s="7"/>
      <c r="U188" s="7"/>
      <c r="V188" s="7"/>
      <c r="W188" s="7"/>
      <c r="X188" s="7"/>
      <c r="Y188" s="7"/>
      <c r="Z188" s="7"/>
    </row>
    <row r="189" spans="1:26" ht="15.75" customHeight="1">
      <c r="A189" s="7"/>
      <c r="B189" s="7"/>
      <c r="C189" s="29"/>
      <c r="D189" s="30"/>
      <c r="E189" s="30"/>
      <c r="F189" s="30"/>
      <c r="G189" s="30"/>
      <c r="H189" s="30"/>
      <c r="I189" s="7"/>
      <c r="J189" s="7"/>
      <c r="K189" s="7"/>
      <c r="L189" s="7"/>
      <c r="M189" s="7"/>
      <c r="N189" s="7"/>
      <c r="O189" s="7"/>
      <c r="P189" s="7"/>
      <c r="Q189" s="7"/>
      <c r="R189" s="7"/>
      <c r="S189" s="7"/>
      <c r="T189" s="7"/>
      <c r="U189" s="7"/>
      <c r="V189" s="7"/>
      <c r="W189" s="7"/>
      <c r="X189" s="7"/>
      <c r="Y189" s="7"/>
      <c r="Z189" s="7"/>
    </row>
    <row r="190" spans="1:26" ht="15.75" customHeight="1">
      <c r="A190" s="7"/>
      <c r="B190" s="7"/>
      <c r="C190" s="29"/>
      <c r="D190" s="30"/>
      <c r="E190" s="30"/>
      <c r="F190" s="30"/>
      <c r="G190" s="30"/>
      <c r="H190" s="30"/>
      <c r="I190" s="7"/>
      <c r="J190" s="7"/>
      <c r="K190" s="7"/>
      <c r="L190" s="7"/>
      <c r="M190" s="7"/>
      <c r="N190" s="7"/>
      <c r="O190" s="7"/>
      <c r="P190" s="7"/>
      <c r="Q190" s="7"/>
      <c r="R190" s="7"/>
      <c r="S190" s="7"/>
      <c r="T190" s="7"/>
      <c r="U190" s="7"/>
      <c r="V190" s="7"/>
      <c r="W190" s="7"/>
      <c r="X190" s="7"/>
      <c r="Y190" s="7"/>
      <c r="Z190" s="7"/>
    </row>
    <row r="191" spans="1:26" ht="15.75" customHeight="1">
      <c r="A191" s="7"/>
      <c r="B191" s="7"/>
      <c r="C191" s="29"/>
      <c r="D191" s="30"/>
      <c r="E191" s="30"/>
      <c r="F191" s="30"/>
      <c r="G191" s="30"/>
      <c r="H191" s="30"/>
      <c r="I191" s="7"/>
      <c r="J191" s="7"/>
      <c r="K191" s="7"/>
      <c r="L191" s="7"/>
      <c r="M191" s="7"/>
      <c r="N191" s="7"/>
      <c r="O191" s="7"/>
      <c r="P191" s="7"/>
      <c r="Q191" s="7"/>
      <c r="R191" s="7"/>
      <c r="S191" s="7"/>
      <c r="T191" s="7"/>
      <c r="U191" s="7"/>
      <c r="V191" s="7"/>
      <c r="W191" s="7"/>
      <c r="X191" s="7"/>
      <c r="Y191" s="7"/>
      <c r="Z191" s="7"/>
    </row>
    <row r="192" spans="1:26" ht="15.75" customHeight="1">
      <c r="A192" s="7"/>
      <c r="B192" s="7"/>
      <c r="C192" s="29"/>
      <c r="D192" s="30"/>
      <c r="E192" s="30"/>
      <c r="F192" s="30"/>
      <c r="G192" s="30"/>
      <c r="H192" s="30"/>
      <c r="I192" s="7"/>
      <c r="J192" s="7"/>
      <c r="K192" s="7"/>
      <c r="L192" s="7"/>
      <c r="M192" s="7"/>
      <c r="N192" s="7"/>
      <c r="O192" s="7"/>
      <c r="P192" s="7"/>
      <c r="Q192" s="7"/>
      <c r="R192" s="7"/>
      <c r="S192" s="7"/>
      <c r="T192" s="7"/>
      <c r="U192" s="7"/>
      <c r="V192" s="7"/>
      <c r="W192" s="7"/>
      <c r="X192" s="7"/>
      <c r="Y192" s="7"/>
      <c r="Z192" s="7"/>
    </row>
    <row r="193" spans="1:26" ht="15.75" customHeight="1">
      <c r="A193" s="7"/>
      <c r="B193" s="7"/>
      <c r="C193" s="29"/>
      <c r="D193" s="30"/>
      <c r="E193" s="30"/>
      <c r="F193" s="30"/>
      <c r="G193" s="30"/>
      <c r="H193" s="30"/>
      <c r="I193" s="7"/>
      <c r="J193" s="7"/>
      <c r="K193" s="7"/>
      <c r="L193" s="7"/>
      <c r="M193" s="7"/>
      <c r="N193" s="7"/>
      <c r="O193" s="7"/>
      <c r="P193" s="7"/>
      <c r="Q193" s="7"/>
      <c r="R193" s="7"/>
      <c r="S193" s="7"/>
      <c r="T193" s="7"/>
      <c r="U193" s="7"/>
      <c r="V193" s="7"/>
      <c r="W193" s="7"/>
      <c r="X193" s="7"/>
      <c r="Y193" s="7"/>
      <c r="Z193" s="7"/>
    </row>
    <row r="194" spans="1:26" ht="15.75" customHeight="1">
      <c r="A194" s="7"/>
      <c r="B194" s="7"/>
      <c r="C194" s="29"/>
      <c r="D194" s="30"/>
      <c r="E194" s="30"/>
      <c r="F194" s="30"/>
      <c r="G194" s="30"/>
      <c r="H194" s="30"/>
      <c r="I194" s="7"/>
      <c r="J194" s="7"/>
      <c r="K194" s="7"/>
      <c r="L194" s="7"/>
      <c r="M194" s="7"/>
      <c r="N194" s="7"/>
      <c r="O194" s="7"/>
      <c r="P194" s="7"/>
      <c r="Q194" s="7"/>
      <c r="R194" s="7"/>
      <c r="S194" s="7"/>
      <c r="T194" s="7"/>
      <c r="U194" s="7"/>
      <c r="V194" s="7"/>
      <c r="W194" s="7"/>
      <c r="X194" s="7"/>
      <c r="Y194" s="7"/>
      <c r="Z194" s="7"/>
    </row>
    <row r="195" spans="1:26" ht="15.75" customHeight="1">
      <c r="A195" s="7"/>
      <c r="B195" s="7"/>
      <c r="C195" s="29"/>
      <c r="D195" s="30"/>
      <c r="E195" s="30"/>
      <c r="F195" s="30"/>
      <c r="G195" s="30"/>
      <c r="H195" s="30"/>
      <c r="I195" s="7"/>
      <c r="J195" s="7"/>
      <c r="K195" s="7"/>
      <c r="L195" s="7"/>
      <c r="M195" s="7"/>
      <c r="N195" s="7"/>
      <c r="O195" s="7"/>
      <c r="P195" s="7"/>
      <c r="Q195" s="7"/>
      <c r="R195" s="7"/>
      <c r="S195" s="7"/>
      <c r="T195" s="7"/>
      <c r="U195" s="7"/>
      <c r="V195" s="7"/>
      <c r="W195" s="7"/>
      <c r="X195" s="7"/>
      <c r="Y195" s="7"/>
      <c r="Z195" s="7"/>
    </row>
    <row r="196" spans="1:26" ht="15.75" customHeight="1">
      <c r="A196" s="7"/>
      <c r="B196" s="7"/>
      <c r="C196" s="29"/>
      <c r="D196" s="30"/>
      <c r="E196" s="30"/>
      <c r="F196" s="30"/>
      <c r="G196" s="30"/>
      <c r="H196" s="30"/>
      <c r="I196" s="7"/>
      <c r="J196" s="7"/>
      <c r="K196" s="7"/>
      <c r="L196" s="7"/>
      <c r="M196" s="7"/>
      <c r="N196" s="7"/>
      <c r="O196" s="7"/>
      <c r="P196" s="7"/>
      <c r="Q196" s="7"/>
      <c r="R196" s="7"/>
      <c r="S196" s="7"/>
      <c r="T196" s="7"/>
      <c r="U196" s="7"/>
      <c r="V196" s="7"/>
      <c r="W196" s="7"/>
      <c r="X196" s="7"/>
      <c r="Y196" s="7"/>
      <c r="Z196" s="7"/>
    </row>
    <row r="197" spans="1:26" ht="15.75" customHeight="1">
      <c r="A197" s="7"/>
      <c r="B197" s="7"/>
      <c r="C197" s="29"/>
      <c r="D197" s="30"/>
      <c r="E197" s="30"/>
      <c r="F197" s="30"/>
      <c r="G197" s="30"/>
      <c r="H197" s="30"/>
      <c r="I197" s="7"/>
      <c r="J197" s="7"/>
      <c r="K197" s="7"/>
      <c r="L197" s="7"/>
      <c r="M197" s="7"/>
      <c r="N197" s="7"/>
      <c r="O197" s="7"/>
      <c r="P197" s="7"/>
      <c r="Q197" s="7"/>
      <c r="R197" s="7"/>
      <c r="S197" s="7"/>
      <c r="T197" s="7"/>
      <c r="U197" s="7"/>
      <c r="V197" s="7"/>
      <c r="W197" s="7"/>
      <c r="X197" s="7"/>
      <c r="Y197" s="7"/>
      <c r="Z197" s="7"/>
    </row>
    <row r="198" spans="1:26" ht="15.75" customHeight="1">
      <c r="A198" s="7"/>
      <c r="B198" s="7"/>
      <c r="C198" s="29"/>
      <c r="D198" s="30"/>
      <c r="E198" s="30"/>
      <c r="F198" s="30"/>
      <c r="G198" s="30"/>
      <c r="H198" s="30"/>
      <c r="I198" s="7"/>
      <c r="J198" s="7"/>
      <c r="K198" s="7"/>
      <c r="L198" s="7"/>
      <c r="M198" s="7"/>
      <c r="N198" s="7"/>
      <c r="O198" s="7"/>
      <c r="P198" s="7"/>
      <c r="Q198" s="7"/>
      <c r="R198" s="7"/>
      <c r="S198" s="7"/>
      <c r="T198" s="7"/>
      <c r="U198" s="7"/>
      <c r="V198" s="7"/>
      <c r="W198" s="7"/>
      <c r="X198" s="7"/>
      <c r="Y198" s="7"/>
      <c r="Z198" s="7"/>
    </row>
    <row r="199" spans="1:26" ht="15.75" customHeight="1">
      <c r="A199" s="7"/>
      <c r="B199" s="7"/>
      <c r="C199" s="29"/>
      <c r="D199" s="30"/>
      <c r="E199" s="30"/>
      <c r="F199" s="30"/>
      <c r="G199" s="30"/>
      <c r="H199" s="30"/>
      <c r="I199" s="7"/>
      <c r="J199" s="7"/>
      <c r="K199" s="7"/>
      <c r="L199" s="7"/>
      <c r="M199" s="7"/>
      <c r="N199" s="7"/>
      <c r="O199" s="7"/>
      <c r="P199" s="7"/>
      <c r="Q199" s="7"/>
      <c r="R199" s="7"/>
      <c r="S199" s="7"/>
      <c r="T199" s="7"/>
      <c r="U199" s="7"/>
      <c r="V199" s="7"/>
      <c r="W199" s="7"/>
      <c r="X199" s="7"/>
      <c r="Y199" s="7"/>
      <c r="Z199" s="7"/>
    </row>
    <row r="200" spans="1:26" ht="15.75" customHeight="1">
      <c r="A200" s="7"/>
      <c r="B200" s="7"/>
      <c r="C200" s="29"/>
      <c r="D200" s="30"/>
      <c r="E200" s="30"/>
      <c r="F200" s="30"/>
      <c r="G200" s="30"/>
      <c r="H200" s="30"/>
      <c r="I200" s="7"/>
      <c r="J200" s="7"/>
      <c r="K200" s="7"/>
      <c r="L200" s="7"/>
      <c r="M200" s="7"/>
      <c r="N200" s="7"/>
      <c r="O200" s="7"/>
      <c r="P200" s="7"/>
      <c r="Q200" s="7"/>
      <c r="R200" s="7"/>
      <c r="S200" s="7"/>
      <c r="T200" s="7"/>
      <c r="U200" s="7"/>
      <c r="V200" s="7"/>
      <c r="W200" s="7"/>
      <c r="X200" s="7"/>
      <c r="Y200" s="7"/>
      <c r="Z200" s="7"/>
    </row>
    <row r="201" spans="1:26" ht="15.75" customHeight="1">
      <c r="A201" s="7"/>
      <c r="B201" s="7"/>
      <c r="C201" s="29"/>
      <c r="D201" s="30"/>
      <c r="E201" s="30"/>
      <c r="F201" s="30"/>
      <c r="G201" s="30"/>
      <c r="H201" s="30"/>
      <c r="I201" s="7"/>
      <c r="J201" s="7"/>
      <c r="K201" s="7"/>
      <c r="L201" s="7"/>
      <c r="M201" s="7"/>
      <c r="N201" s="7"/>
      <c r="O201" s="7"/>
      <c r="P201" s="7"/>
      <c r="Q201" s="7"/>
      <c r="R201" s="7"/>
      <c r="S201" s="7"/>
      <c r="T201" s="7"/>
      <c r="U201" s="7"/>
      <c r="V201" s="7"/>
      <c r="W201" s="7"/>
      <c r="X201" s="7"/>
      <c r="Y201" s="7"/>
      <c r="Z201" s="7"/>
    </row>
    <row r="202" spans="1:26" ht="15.75" customHeight="1">
      <c r="A202" s="7"/>
      <c r="B202" s="7"/>
      <c r="C202" s="29"/>
      <c r="D202" s="30"/>
      <c r="E202" s="30"/>
      <c r="F202" s="30"/>
      <c r="G202" s="30"/>
      <c r="H202" s="30"/>
      <c r="I202" s="7"/>
      <c r="J202" s="7"/>
      <c r="K202" s="7"/>
      <c r="L202" s="7"/>
      <c r="M202" s="7"/>
      <c r="N202" s="7"/>
      <c r="O202" s="7"/>
      <c r="P202" s="7"/>
      <c r="Q202" s="7"/>
      <c r="R202" s="7"/>
      <c r="S202" s="7"/>
      <c r="T202" s="7"/>
      <c r="U202" s="7"/>
      <c r="V202" s="7"/>
      <c r="W202" s="7"/>
      <c r="X202" s="7"/>
      <c r="Y202" s="7"/>
      <c r="Z202" s="7"/>
    </row>
    <row r="203" spans="1:26" ht="15.75" customHeight="1">
      <c r="A203" s="7"/>
      <c r="B203" s="7"/>
      <c r="C203" s="29"/>
      <c r="D203" s="30"/>
      <c r="E203" s="30"/>
      <c r="F203" s="30"/>
      <c r="G203" s="30"/>
      <c r="H203" s="30"/>
      <c r="I203" s="7"/>
      <c r="J203" s="7"/>
      <c r="K203" s="7"/>
      <c r="L203" s="7"/>
      <c r="M203" s="7"/>
      <c r="N203" s="7"/>
      <c r="O203" s="7"/>
      <c r="P203" s="7"/>
      <c r="Q203" s="7"/>
      <c r="R203" s="7"/>
      <c r="S203" s="7"/>
      <c r="T203" s="7"/>
      <c r="U203" s="7"/>
      <c r="V203" s="7"/>
      <c r="W203" s="7"/>
      <c r="X203" s="7"/>
      <c r="Y203" s="7"/>
      <c r="Z203" s="7"/>
    </row>
    <row r="204" spans="1:26" ht="15.75" customHeight="1">
      <c r="A204" s="7"/>
      <c r="B204" s="7"/>
      <c r="C204" s="29"/>
      <c r="D204" s="30"/>
      <c r="E204" s="30"/>
      <c r="F204" s="30"/>
      <c r="G204" s="30"/>
      <c r="H204" s="30"/>
      <c r="I204" s="7"/>
      <c r="J204" s="7"/>
      <c r="K204" s="7"/>
      <c r="L204" s="7"/>
      <c r="M204" s="7"/>
      <c r="N204" s="7"/>
      <c r="O204" s="7"/>
      <c r="P204" s="7"/>
      <c r="Q204" s="7"/>
      <c r="R204" s="7"/>
      <c r="S204" s="7"/>
      <c r="T204" s="7"/>
      <c r="U204" s="7"/>
      <c r="V204" s="7"/>
      <c r="W204" s="7"/>
      <c r="X204" s="7"/>
      <c r="Y204" s="7"/>
      <c r="Z204" s="7"/>
    </row>
    <row r="205" spans="1:26" ht="15.75" customHeight="1">
      <c r="A205" s="7"/>
      <c r="B205" s="7"/>
      <c r="C205" s="29"/>
      <c r="D205" s="30"/>
      <c r="E205" s="30"/>
      <c r="F205" s="30"/>
      <c r="G205" s="30"/>
      <c r="H205" s="30"/>
      <c r="I205" s="7"/>
      <c r="J205" s="7"/>
      <c r="K205" s="7"/>
      <c r="L205" s="7"/>
      <c r="M205" s="7"/>
      <c r="N205" s="7"/>
      <c r="O205" s="7"/>
      <c r="P205" s="7"/>
      <c r="Q205" s="7"/>
      <c r="R205" s="7"/>
      <c r="S205" s="7"/>
      <c r="T205" s="7"/>
      <c r="U205" s="7"/>
      <c r="V205" s="7"/>
      <c r="W205" s="7"/>
      <c r="X205" s="7"/>
      <c r="Y205" s="7"/>
      <c r="Z205" s="7"/>
    </row>
    <row r="206" spans="1:26" ht="15.75" customHeight="1">
      <c r="A206" s="7"/>
      <c r="B206" s="7"/>
      <c r="C206" s="29"/>
      <c r="D206" s="30"/>
      <c r="E206" s="30"/>
      <c r="F206" s="30"/>
      <c r="G206" s="30"/>
      <c r="H206" s="30"/>
      <c r="I206" s="7"/>
      <c r="J206" s="7"/>
      <c r="K206" s="7"/>
      <c r="L206" s="7"/>
      <c r="M206" s="7"/>
      <c r="N206" s="7"/>
      <c r="O206" s="7"/>
      <c r="P206" s="7"/>
      <c r="Q206" s="7"/>
      <c r="R206" s="7"/>
      <c r="S206" s="7"/>
      <c r="T206" s="7"/>
      <c r="U206" s="7"/>
      <c r="V206" s="7"/>
      <c r="W206" s="7"/>
      <c r="X206" s="7"/>
      <c r="Y206" s="7"/>
      <c r="Z206" s="7"/>
    </row>
    <row r="207" spans="1:26" ht="15.75" customHeight="1">
      <c r="A207" s="7"/>
      <c r="B207" s="7"/>
      <c r="C207" s="29"/>
      <c r="D207" s="30"/>
      <c r="E207" s="30"/>
      <c r="F207" s="30"/>
      <c r="G207" s="30"/>
      <c r="H207" s="30"/>
      <c r="I207" s="7"/>
      <c r="J207" s="7"/>
      <c r="K207" s="7"/>
      <c r="L207" s="7"/>
      <c r="M207" s="7"/>
      <c r="N207" s="7"/>
      <c r="O207" s="7"/>
      <c r="P207" s="7"/>
      <c r="Q207" s="7"/>
      <c r="R207" s="7"/>
      <c r="S207" s="7"/>
      <c r="T207" s="7"/>
      <c r="U207" s="7"/>
      <c r="V207" s="7"/>
      <c r="W207" s="7"/>
      <c r="X207" s="7"/>
      <c r="Y207" s="7"/>
      <c r="Z207" s="7"/>
    </row>
    <row r="208" spans="1:26" ht="15.75" customHeight="1">
      <c r="A208" s="7"/>
      <c r="B208" s="7"/>
      <c r="C208" s="29"/>
      <c r="D208" s="30"/>
      <c r="E208" s="30"/>
      <c r="F208" s="30"/>
      <c r="G208" s="30"/>
      <c r="H208" s="30"/>
      <c r="I208" s="7"/>
      <c r="J208" s="7"/>
      <c r="K208" s="7"/>
      <c r="L208" s="7"/>
      <c r="M208" s="7"/>
      <c r="N208" s="7"/>
      <c r="O208" s="7"/>
      <c r="P208" s="7"/>
      <c r="Q208" s="7"/>
      <c r="R208" s="7"/>
      <c r="S208" s="7"/>
      <c r="T208" s="7"/>
      <c r="U208" s="7"/>
      <c r="V208" s="7"/>
      <c r="W208" s="7"/>
      <c r="X208" s="7"/>
      <c r="Y208" s="7"/>
      <c r="Z208" s="7"/>
    </row>
    <row r="209" spans="1:26" ht="15.75" customHeight="1">
      <c r="A209" s="7"/>
      <c r="B209" s="7"/>
      <c r="C209" s="29"/>
      <c r="D209" s="30"/>
      <c r="E209" s="30"/>
      <c r="F209" s="30"/>
      <c r="G209" s="30"/>
      <c r="H209" s="30"/>
      <c r="I209" s="7"/>
      <c r="J209" s="7"/>
      <c r="K209" s="7"/>
      <c r="L209" s="7"/>
      <c r="M209" s="7"/>
      <c r="N209" s="7"/>
      <c r="O209" s="7"/>
      <c r="P209" s="7"/>
      <c r="Q209" s="7"/>
      <c r="R209" s="7"/>
      <c r="S209" s="7"/>
      <c r="T209" s="7"/>
      <c r="U209" s="7"/>
      <c r="V209" s="7"/>
      <c r="W209" s="7"/>
      <c r="X209" s="7"/>
      <c r="Y209" s="7"/>
      <c r="Z209" s="7"/>
    </row>
    <row r="210" spans="1:26" ht="15.75" customHeight="1">
      <c r="A210" s="7"/>
      <c r="B210" s="7"/>
      <c r="C210" s="29"/>
      <c r="D210" s="30"/>
      <c r="E210" s="30"/>
      <c r="F210" s="30"/>
      <c r="G210" s="30"/>
      <c r="H210" s="30"/>
      <c r="I210" s="7"/>
      <c r="J210" s="7"/>
      <c r="K210" s="7"/>
      <c r="L210" s="7"/>
      <c r="M210" s="7"/>
      <c r="N210" s="7"/>
      <c r="O210" s="7"/>
      <c r="P210" s="7"/>
      <c r="Q210" s="7"/>
      <c r="R210" s="7"/>
      <c r="S210" s="7"/>
      <c r="T210" s="7"/>
      <c r="U210" s="7"/>
      <c r="V210" s="7"/>
      <c r="W210" s="7"/>
      <c r="X210" s="7"/>
      <c r="Y210" s="7"/>
      <c r="Z210" s="7"/>
    </row>
    <row r="211" spans="1:26" ht="15.75" customHeight="1">
      <c r="A211" s="7"/>
      <c r="B211" s="7"/>
      <c r="C211" s="29"/>
      <c r="D211" s="30"/>
      <c r="E211" s="30"/>
      <c r="F211" s="30"/>
      <c r="G211" s="30"/>
      <c r="H211" s="30"/>
      <c r="I211" s="7"/>
      <c r="J211" s="7"/>
      <c r="K211" s="7"/>
      <c r="L211" s="7"/>
      <c r="M211" s="7"/>
      <c r="N211" s="7"/>
      <c r="O211" s="7"/>
      <c r="P211" s="7"/>
      <c r="Q211" s="7"/>
      <c r="R211" s="7"/>
      <c r="S211" s="7"/>
      <c r="T211" s="7"/>
      <c r="U211" s="7"/>
      <c r="V211" s="7"/>
      <c r="W211" s="7"/>
      <c r="X211" s="7"/>
      <c r="Y211" s="7"/>
      <c r="Z211" s="7"/>
    </row>
    <row r="212" spans="1:26" ht="15.75" customHeight="1">
      <c r="A212" s="7"/>
      <c r="B212" s="7"/>
      <c r="C212" s="29"/>
      <c r="D212" s="30"/>
      <c r="E212" s="30"/>
      <c r="F212" s="30"/>
      <c r="G212" s="30"/>
      <c r="H212" s="30"/>
      <c r="I212" s="7"/>
      <c r="J212" s="7"/>
      <c r="K212" s="7"/>
      <c r="L212" s="7"/>
      <c r="M212" s="7"/>
      <c r="N212" s="7"/>
      <c r="O212" s="7"/>
      <c r="P212" s="7"/>
      <c r="Q212" s="7"/>
      <c r="R212" s="7"/>
      <c r="S212" s="7"/>
      <c r="T212" s="7"/>
      <c r="U212" s="7"/>
      <c r="V212" s="7"/>
      <c r="W212" s="7"/>
      <c r="X212" s="7"/>
      <c r="Y212" s="7"/>
      <c r="Z212" s="7"/>
    </row>
    <row r="213" spans="1:26" ht="15.75" customHeight="1">
      <c r="A213" s="7"/>
      <c r="B213" s="7"/>
      <c r="C213" s="29"/>
      <c r="D213" s="30"/>
      <c r="E213" s="30"/>
      <c r="F213" s="30"/>
      <c r="G213" s="30"/>
      <c r="H213" s="30"/>
      <c r="I213" s="7"/>
      <c r="J213" s="7"/>
      <c r="K213" s="7"/>
      <c r="L213" s="7"/>
      <c r="M213" s="7"/>
      <c r="N213" s="7"/>
      <c r="O213" s="7"/>
      <c r="P213" s="7"/>
      <c r="Q213" s="7"/>
      <c r="R213" s="7"/>
      <c r="S213" s="7"/>
      <c r="T213" s="7"/>
      <c r="U213" s="7"/>
      <c r="V213" s="7"/>
      <c r="W213" s="7"/>
      <c r="X213" s="7"/>
      <c r="Y213" s="7"/>
      <c r="Z213" s="7"/>
    </row>
    <row r="214" spans="1:26" ht="15.75" customHeight="1">
      <c r="A214" s="7"/>
      <c r="B214" s="7"/>
      <c r="C214" s="29"/>
      <c r="D214" s="30"/>
      <c r="E214" s="30"/>
      <c r="F214" s="30"/>
      <c r="G214" s="30"/>
      <c r="H214" s="30"/>
      <c r="I214" s="7"/>
      <c r="J214" s="7"/>
      <c r="K214" s="7"/>
      <c r="L214" s="7"/>
      <c r="M214" s="7"/>
      <c r="N214" s="7"/>
      <c r="O214" s="7"/>
      <c r="P214" s="7"/>
      <c r="Q214" s="7"/>
      <c r="R214" s="7"/>
      <c r="S214" s="7"/>
      <c r="T214" s="7"/>
      <c r="U214" s="7"/>
      <c r="V214" s="7"/>
      <c r="W214" s="7"/>
      <c r="X214" s="7"/>
      <c r="Y214" s="7"/>
      <c r="Z214" s="7"/>
    </row>
    <row r="215" spans="1:26" ht="15.75" customHeight="1">
      <c r="A215" s="7"/>
      <c r="B215" s="7"/>
      <c r="C215" s="29"/>
      <c r="D215" s="30"/>
      <c r="E215" s="30"/>
      <c r="F215" s="30"/>
      <c r="G215" s="30"/>
      <c r="H215" s="30"/>
      <c r="I215" s="7"/>
      <c r="J215" s="7"/>
      <c r="K215" s="7"/>
      <c r="L215" s="7"/>
      <c r="M215" s="7"/>
      <c r="N215" s="7"/>
      <c r="O215" s="7"/>
      <c r="P215" s="7"/>
      <c r="Q215" s="7"/>
      <c r="R215" s="7"/>
      <c r="S215" s="7"/>
      <c r="T215" s="7"/>
      <c r="U215" s="7"/>
      <c r="V215" s="7"/>
      <c r="W215" s="7"/>
      <c r="X215" s="7"/>
      <c r="Y215" s="7"/>
      <c r="Z215" s="7"/>
    </row>
    <row r="216" spans="1:26" ht="15.75" customHeight="1">
      <c r="A216" s="7"/>
      <c r="B216" s="7"/>
      <c r="C216" s="29"/>
      <c r="D216" s="30"/>
      <c r="E216" s="30"/>
      <c r="F216" s="30"/>
      <c r="G216" s="30"/>
      <c r="H216" s="30"/>
      <c r="I216" s="7"/>
      <c r="J216" s="7"/>
      <c r="K216" s="7"/>
      <c r="L216" s="7"/>
      <c r="M216" s="7"/>
      <c r="N216" s="7"/>
      <c r="O216" s="7"/>
      <c r="P216" s="7"/>
      <c r="Q216" s="7"/>
      <c r="R216" s="7"/>
      <c r="S216" s="7"/>
      <c r="T216" s="7"/>
      <c r="U216" s="7"/>
      <c r="V216" s="7"/>
      <c r="W216" s="7"/>
      <c r="X216" s="7"/>
      <c r="Y216" s="7"/>
      <c r="Z216" s="7"/>
    </row>
    <row r="217" spans="1:26" ht="15.75" customHeight="1">
      <c r="A217" s="7"/>
      <c r="B217" s="7"/>
      <c r="C217" s="29"/>
      <c r="D217" s="30"/>
      <c r="E217" s="30"/>
      <c r="F217" s="30"/>
      <c r="G217" s="30"/>
      <c r="H217" s="30"/>
      <c r="I217" s="7"/>
      <c r="J217" s="7"/>
      <c r="K217" s="7"/>
      <c r="L217" s="7"/>
      <c r="M217" s="7"/>
      <c r="N217" s="7"/>
      <c r="O217" s="7"/>
      <c r="P217" s="7"/>
      <c r="Q217" s="7"/>
      <c r="R217" s="7"/>
      <c r="S217" s="7"/>
      <c r="T217" s="7"/>
      <c r="U217" s="7"/>
      <c r="V217" s="7"/>
      <c r="W217" s="7"/>
      <c r="X217" s="7"/>
      <c r="Y217" s="7"/>
      <c r="Z217" s="7"/>
    </row>
    <row r="218" spans="1:26" ht="15.75" customHeight="1">
      <c r="A218" s="7"/>
      <c r="B218" s="7"/>
      <c r="C218" s="29"/>
      <c r="D218" s="30"/>
      <c r="E218" s="30"/>
      <c r="F218" s="30"/>
      <c r="G218" s="30"/>
      <c r="H218" s="30"/>
      <c r="I218" s="7"/>
      <c r="J218" s="7"/>
      <c r="K218" s="7"/>
      <c r="L218" s="7"/>
      <c r="M218" s="7"/>
      <c r="N218" s="7"/>
      <c r="O218" s="7"/>
      <c r="P218" s="7"/>
      <c r="Q218" s="7"/>
      <c r="R218" s="7"/>
      <c r="S218" s="7"/>
      <c r="T218" s="7"/>
      <c r="U218" s="7"/>
      <c r="V218" s="7"/>
      <c r="W218" s="7"/>
      <c r="X218" s="7"/>
      <c r="Y218" s="7"/>
      <c r="Z218" s="7"/>
    </row>
    <row r="219" spans="1:26" ht="15.75" customHeight="1">
      <c r="A219" s="7"/>
      <c r="B219" s="7"/>
      <c r="C219" s="29"/>
      <c r="D219" s="30"/>
      <c r="E219" s="30"/>
      <c r="F219" s="30"/>
      <c r="G219" s="30"/>
      <c r="H219" s="30"/>
      <c r="I219" s="7"/>
      <c r="J219" s="7"/>
      <c r="K219" s="7"/>
      <c r="L219" s="7"/>
      <c r="M219" s="7"/>
      <c r="N219" s="7"/>
      <c r="O219" s="7"/>
      <c r="P219" s="7"/>
      <c r="Q219" s="7"/>
      <c r="R219" s="7"/>
      <c r="S219" s="7"/>
      <c r="T219" s="7"/>
      <c r="U219" s="7"/>
      <c r="V219" s="7"/>
      <c r="W219" s="7"/>
      <c r="X219" s="7"/>
      <c r="Y219" s="7"/>
      <c r="Z219" s="7"/>
    </row>
    <row r="220" spans="1:26" ht="15.75" customHeight="1">
      <c r="A220" s="7"/>
      <c r="B220" s="7"/>
      <c r="C220" s="29"/>
      <c r="D220" s="30"/>
      <c r="E220" s="30"/>
      <c r="F220" s="30"/>
      <c r="G220" s="30"/>
      <c r="H220" s="30"/>
      <c r="I220" s="7"/>
      <c r="J220" s="7"/>
      <c r="K220" s="7"/>
      <c r="L220" s="7"/>
      <c r="M220" s="7"/>
      <c r="N220" s="7"/>
      <c r="O220" s="7"/>
      <c r="P220" s="7"/>
      <c r="Q220" s="7"/>
      <c r="R220" s="7"/>
      <c r="S220" s="7"/>
      <c r="T220" s="7"/>
      <c r="U220" s="7"/>
      <c r="V220" s="7"/>
      <c r="W220" s="7"/>
      <c r="X220" s="7"/>
      <c r="Y220" s="7"/>
      <c r="Z220" s="7"/>
    </row>
    <row r="221" spans="1:26" ht="15.75" customHeight="1">
      <c r="A221" s="7"/>
      <c r="B221" s="7"/>
      <c r="C221" s="29"/>
      <c r="D221" s="30"/>
      <c r="E221" s="30"/>
      <c r="F221" s="30"/>
      <c r="G221" s="30"/>
      <c r="H221" s="30"/>
      <c r="I221" s="7"/>
      <c r="J221" s="7"/>
      <c r="K221" s="7"/>
      <c r="L221" s="7"/>
      <c r="M221" s="7"/>
      <c r="N221" s="7"/>
      <c r="O221" s="7"/>
      <c r="P221" s="7"/>
      <c r="Q221" s="7"/>
      <c r="R221" s="7"/>
      <c r="S221" s="7"/>
      <c r="T221" s="7"/>
      <c r="U221" s="7"/>
      <c r="V221" s="7"/>
      <c r="W221" s="7"/>
      <c r="X221" s="7"/>
      <c r="Y221" s="7"/>
      <c r="Z221" s="7"/>
    </row>
    <row r="222" spans="1:26" ht="15.75" customHeight="1">
      <c r="A222" s="7"/>
      <c r="B222" s="7"/>
      <c r="C222" s="29"/>
      <c r="D222" s="30"/>
      <c r="E222" s="30"/>
      <c r="F222" s="30"/>
      <c r="G222" s="30"/>
      <c r="H222" s="30"/>
      <c r="I222" s="7"/>
      <c r="J222" s="7"/>
      <c r="K222" s="7"/>
      <c r="L222" s="7"/>
      <c r="M222" s="7"/>
      <c r="N222" s="7"/>
      <c r="O222" s="7"/>
      <c r="P222" s="7"/>
      <c r="Q222" s="7"/>
      <c r="R222" s="7"/>
      <c r="S222" s="7"/>
      <c r="T222" s="7"/>
      <c r="U222" s="7"/>
      <c r="V222" s="7"/>
      <c r="W222" s="7"/>
      <c r="X222" s="7"/>
      <c r="Y222" s="7"/>
      <c r="Z222" s="7"/>
    </row>
    <row r="223" spans="1:26" ht="15.75" customHeight="1">
      <c r="A223" s="7"/>
      <c r="B223" s="7"/>
      <c r="C223" s="29"/>
      <c r="D223" s="30"/>
      <c r="E223" s="30"/>
      <c r="F223" s="30"/>
      <c r="G223" s="30"/>
      <c r="H223" s="30"/>
      <c r="I223" s="7"/>
      <c r="J223" s="7"/>
      <c r="K223" s="7"/>
      <c r="L223" s="7"/>
      <c r="M223" s="7"/>
      <c r="N223" s="7"/>
      <c r="O223" s="7"/>
      <c r="P223" s="7"/>
      <c r="Q223" s="7"/>
      <c r="R223" s="7"/>
      <c r="S223" s="7"/>
      <c r="T223" s="7"/>
      <c r="U223" s="7"/>
      <c r="V223" s="7"/>
      <c r="W223" s="7"/>
      <c r="X223" s="7"/>
      <c r="Y223" s="7"/>
      <c r="Z223" s="7"/>
    </row>
    <row r="224" spans="1:26" ht="15.75" customHeight="1">
      <c r="A224" s="7"/>
      <c r="B224" s="7"/>
      <c r="C224" s="29"/>
      <c r="D224" s="30"/>
      <c r="E224" s="30"/>
      <c r="F224" s="30"/>
      <c r="G224" s="30"/>
      <c r="H224" s="30"/>
      <c r="I224" s="7"/>
      <c r="J224" s="7"/>
      <c r="K224" s="7"/>
      <c r="L224" s="7"/>
      <c r="M224" s="7"/>
      <c r="N224" s="7"/>
      <c r="O224" s="7"/>
      <c r="P224" s="7"/>
      <c r="Q224" s="7"/>
      <c r="R224" s="7"/>
      <c r="S224" s="7"/>
      <c r="T224" s="7"/>
      <c r="U224" s="7"/>
      <c r="V224" s="7"/>
      <c r="W224" s="7"/>
      <c r="X224" s="7"/>
      <c r="Y224" s="7"/>
      <c r="Z224" s="7"/>
    </row>
    <row r="225" spans="1:26" ht="15.75" customHeight="1">
      <c r="A225" s="7"/>
      <c r="B225" s="7"/>
      <c r="C225" s="29"/>
      <c r="D225" s="30"/>
      <c r="E225" s="30"/>
      <c r="F225" s="30"/>
      <c r="G225" s="30"/>
      <c r="H225" s="30"/>
      <c r="I225" s="7"/>
      <c r="J225" s="7"/>
      <c r="K225" s="7"/>
      <c r="L225" s="7"/>
      <c r="M225" s="7"/>
      <c r="N225" s="7"/>
      <c r="O225" s="7"/>
      <c r="P225" s="7"/>
      <c r="Q225" s="7"/>
      <c r="R225" s="7"/>
      <c r="S225" s="7"/>
      <c r="T225" s="7"/>
      <c r="U225" s="7"/>
      <c r="V225" s="7"/>
      <c r="W225" s="7"/>
      <c r="X225" s="7"/>
      <c r="Y225" s="7"/>
      <c r="Z225" s="7"/>
    </row>
    <row r="226" spans="1:26" ht="15.75" customHeight="1">
      <c r="A226" s="7"/>
      <c r="B226" s="7"/>
      <c r="C226" s="29"/>
      <c r="D226" s="30"/>
      <c r="E226" s="30"/>
      <c r="F226" s="30"/>
      <c r="G226" s="30"/>
      <c r="H226" s="30"/>
      <c r="I226" s="7"/>
      <c r="J226" s="7"/>
      <c r="K226" s="7"/>
      <c r="L226" s="7"/>
      <c r="M226" s="7"/>
      <c r="N226" s="7"/>
      <c r="O226" s="7"/>
      <c r="P226" s="7"/>
      <c r="Q226" s="7"/>
      <c r="R226" s="7"/>
      <c r="S226" s="7"/>
      <c r="T226" s="7"/>
      <c r="U226" s="7"/>
      <c r="V226" s="7"/>
      <c r="W226" s="7"/>
      <c r="X226" s="7"/>
      <c r="Y226" s="7"/>
      <c r="Z226" s="7"/>
    </row>
    <row r="227" spans="1:26" ht="15.75" customHeight="1">
      <c r="A227" s="7"/>
      <c r="B227" s="7"/>
      <c r="C227" s="29"/>
      <c r="D227" s="30"/>
      <c r="E227" s="30"/>
      <c r="F227" s="30"/>
      <c r="G227" s="30"/>
      <c r="H227" s="30"/>
      <c r="I227" s="7"/>
      <c r="J227" s="7"/>
      <c r="K227" s="7"/>
      <c r="L227" s="7"/>
      <c r="M227" s="7"/>
      <c r="N227" s="7"/>
      <c r="O227" s="7"/>
      <c r="P227" s="7"/>
      <c r="Q227" s="7"/>
      <c r="R227" s="7"/>
      <c r="S227" s="7"/>
      <c r="T227" s="7"/>
      <c r="U227" s="7"/>
      <c r="V227" s="7"/>
      <c r="W227" s="7"/>
      <c r="X227" s="7"/>
      <c r="Y227" s="7"/>
      <c r="Z227" s="7"/>
    </row>
    <row r="228" spans="1:26" ht="15.75" customHeight="1">
      <c r="A228" s="7"/>
      <c r="B228" s="7"/>
      <c r="C228" s="29"/>
      <c r="D228" s="30"/>
      <c r="E228" s="30"/>
      <c r="F228" s="30"/>
      <c r="G228" s="30"/>
      <c r="H228" s="30"/>
      <c r="I228" s="7"/>
      <c r="J228" s="7"/>
      <c r="K228" s="7"/>
      <c r="L228" s="7"/>
      <c r="M228" s="7"/>
      <c r="N228" s="7"/>
      <c r="O228" s="7"/>
      <c r="P228" s="7"/>
      <c r="Q228" s="7"/>
      <c r="R228" s="7"/>
      <c r="S228" s="7"/>
      <c r="T228" s="7"/>
      <c r="U228" s="7"/>
      <c r="V228" s="7"/>
      <c r="W228" s="7"/>
      <c r="X228" s="7"/>
      <c r="Y228" s="7"/>
      <c r="Z228" s="7"/>
    </row>
    <row r="229" spans="1:26" ht="15.75" customHeight="1">
      <c r="A229" s="7"/>
      <c r="B229" s="7"/>
      <c r="C229" s="29"/>
      <c r="D229" s="30"/>
      <c r="E229" s="30"/>
      <c r="F229" s="30"/>
      <c r="G229" s="30"/>
      <c r="H229" s="30"/>
      <c r="I229" s="7"/>
      <c r="J229" s="7"/>
      <c r="K229" s="7"/>
      <c r="L229" s="7"/>
      <c r="M229" s="7"/>
      <c r="N229" s="7"/>
      <c r="O229" s="7"/>
      <c r="P229" s="7"/>
      <c r="Q229" s="7"/>
      <c r="R229" s="7"/>
      <c r="S229" s="7"/>
      <c r="T229" s="7"/>
      <c r="U229" s="7"/>
      <c r="V229" s="7"/>
      <c r="W229" s="7"/>
      <c r="X229" s="7"/>
      <c r="Y229" s="7"/>
      <c r="Z229" s="7"/>
    </row>
    <row r="230" spans="1:26" ht="15.75" customHeight="1">
      <c r="A230" s="7"/>
      <c r="B230" s="7"/>
      <c r="C230" s="29"/>
      <c r="D230" s="30"/>
      <c r="E230" s="30"/>
      <c r="F230" s="30"/>
      <c r="G230" s="30"/>
      <c r="H230" s="30"/>
      <c r="I230" s="7"/>
      <c r="J230" s="7"/>
      <c r="K230" s="7"/>
      <c r="L230" s="7"/>
      <c r="M230" s="7"/>
      <c r="N230" s="7"/>
      <c r="O230" s="7"/>
      <c r="P230" s="7"/>
      <c r="Q230" s="7"/>
      <c r="R230" s="7"/>
      <c r="S230" s="7"/>
      <c r="T230" s="7"/>
      <c r="U230" s="7"/>
      <c r="V230" s="7"/>
      <c r="W230" s="7"/>
      <c r="X230" s="7"/>
      <c r="Y230" s="7"/>
      <c r="Z230" s="7"/>
    </row>
    <row r="231" spans="1:26" ht="15.75" customHeight="1">
      <c r="A231" s="7"/>
      <c r="B231" s="7"/>
      <c r="C231" s="29"/>
      <c r="D231" s="30"/>
      <c r="E231" s="30"/>
      <c r="F231" s="30"/>
      <c r="G231" s="30"/>
      <c r="H231" s="30"/>
      <c r="I231" s="7"/>
      <c r="J231" s="7"/>
      <c r="K231" s="7"/>
      <c r="L231" s="7"/>
      <c r="M231" s="7"/>
      <c r="N231" s="7"/>
      <c r="O231" s="7"/>
      <c r="P231" s="7"/>
      <c r="Q231" s="7"/>
      <c r="R231" s="7"/>
      <c r="S231" s="7"/>
      <c r="T231" s="7"/>
      <c r="U231" s="7"/>
      <c r="V231" s="7"/>
      <c r="W231" s="7"/>
      <c r="X231" s="7"/>
      <c r="Y231" s="7"/>
      <c r="Z231" s="7"/>
    </row>
    <row r="232" spans="1:26" ht="15.75" customHeight="1">
      <c r="A232" s="7"/>
      <c r="B232" s="7"/>
      <c r="C232" s="29"/>
      <c r="D232" s="30"/>
      <c r="E232" s="30"/>
      <c r="F232" s="30"/>
      <c r="G232" s="30"/>
      <c r="H232" s="30"/>
      <c r="I232" s="7"/>
      <c r="J232" s="7"/>
      <c r="K232" s="7"/>
      <c r="L232" s="7"/>
      <c r="M232" s="7"/>
      <c r="N232" s="7"/>
      <c r="O232" s="7"/>
      <c r="P232" s="7"/>
      <c r="Q232" s="7"/>
      <c r="R232" s="7"/>
      <c r="S232" s="7"/>
      <c r="T232" s="7"/>
      <c r="U232" s="7"/>
      <c r="V232" s="7"/>
      <c r="W232" s="7"/>
      <c r="X232" s="7"/>
      <c r="Y232" s="7"/>
      <c r="Z232" s="7"/>
    </row>
    <row r="233" spans="1:26" ht="15.75" customHeight="1">
      <c r="A233" s="7"/>
      <c r="B233" s="7"/>
      <c r="C233" s="29"/>
      <c r="D233" s="30"/>
      <c r="E233" s="30"/>
      <c r="F233" s="30"/>
      <c r="G233" s="30"/>
      <c r="H233" s="30"/>
      <c r="I233" s="7"/>
      <c r="J233" s="7"/>
      <c r="K233" s="7"/>
      <c r="L233" s="7"/>
      <c r="M233" s="7"/>
      <c r="N233" s="7"/>
      <c r="O233" s="7"/>
      <c r="P233" s="7"/>
      <c r="Q233" s="7"/>
      <c r="R233" s="7"/>
      <c r="S233" s="7"/>
      <c r="T233" s="7"/>
      <c r="U233" s="7"/>
      <c r="V233" s="7"/>
      <c r="W233" s="7"/>
      <c r="X233" s="7"/>
      <c r="Y233" s="7"/>
      <c r="Z233" s="7"/>
    </row>
    <row r="234" spans="1:26" ht="15.75" customHeight="1">
      <c r="A234" s="7"/>
      <c r="B234" s="7"/>
      <c r="C234" s="29"/>
      <c r="D234" s="30"/>
      <c r="E234" s="30"/>
      <c r="F234" s="30"/>
      <c r="G234" s="30"/>
      <c r="H234" s="30"/>
      <c r="I234" s="7"/>
      <c r="J234" s="7"/>
      <c r="K234" s="7"/>
      <c r="L234" s="7"/>
      <c r="M234" s="7"/>
      <c r="N234" s="7"/>
      <c r="O234" s="7"/>
      <c r="P234" s="7"/>
      <c r="Q234" s="7"/>
      <c r="R234" s="7"/>
      <c r="S234" s="7"/>
      <c r="T234" s="7"/>
      <c r="U234" s="7"/>
      <c r="V234" s="7"/>
      <c r="W234" s="7"/>
      <c r="X234" s="7"/>
      <c r="Y234" s="7"/>
      <c r="Z234" s="7"/>
    </row>
    <row r="235" spans="1:26" ht="15.75" customHeight="1">
      <c r="A235" s="7"/>
      <c r="B235" s="7"/>
      <c r="C235" s="29"/>
      <c r="D235" s="30"/>
      <c r="E235" s="30"/>
      <c r="F235" s="30"/>
      <c r="G235" s="30"/>
      <c r="H235" s="30"/>
      <c r="I235" s="7"/>
      <c r="J235" s="7"/>
      <c r="K235" s="7"/>
      <c r="L235" s="7"/>
      <c r="M235" s="7"/>
      <c r="N235" s="7"/>
      <c r="O235" s="7"/>
      <c r="P235" s="7"/>
      <c r="Q235" s="7"/>
      <c r="R235" s="7"/>
      <c r="S235" s="7"/>
      <c r="T235" s="7"/>
      <c r="U235" s="7"/>
      <c r="V235" s="7"/>
      <c r="W235" s="7"/>
      <c r="X235" s="7"/>
      <c r="Y235" s="7"/>
      <c r="Z235" s="7"/>
    </row>
    <row r="236" spans="1:26" ht="15.75" customHeight="1">
      <c r="A236" s="7"/>
      <c r="B236" s="7"/>
      <c r="C236" s="29"/>
      <c r="D236" s="30"/>
      <c r="E236" s="30"/>
      <c r="F236" s="30"/>
      <c r="G236" s="30"/>
      <c r="H236" s="30"/>
      <c r="I236" s="7"/>
      <c r="J236" s="7"/>
      <c r="K236" s="7"/>
      <c r="L236" s="7"/>
      <c r="M236" s="7"/>
      <c r="N236" s="7"/>
      <c r="O236" s="7"/>
      <c r="P236" s="7"/>
      <c r="Q236" s="7"/>
      <c r="R236" s="7"/>
      <c r="S236" s="7"/>
      <c r="T236" s="7"/>
      <c r="U236" s="7"/>
      <c r="V236" s="7"/>
      <c r="W236" s="7"/>
      <c r="X236" s="7"/>
      <c r="Y236" s="7"/>
      <c r="Z236" s="7"/>
    </row>
    <row r="237" spans="1:26" ht="15.75" customHeight="1">
      <c r="A237" s="7"/>
      <c r="B237" s="7"/>
      <c r="C237" s="29"/>
      <c r="D237" s="30"/>
      <c r="E237" s="30"/>
      <c r="F237" s="30"/>
      <c r="G237" s="30"/>
      <c r="H237" s="30"/>
      <c r="I237" s="7"/>
      <c r="J237" s="7"/>
      <c r="K237" s="7"/>
      <c r="L237" s="7"/>
      <c r="M237" s="7"/>
      <c r="N237" s="7"/>
      <c r="O237" s="7"/>
      <c r="P237" s="7"/>
      <c r="Q237" s="7"/>
      <c r="R237" s="7"/>
      <c r="S237" s="7"/>
      <c r="T237" s="7"/>
      <c r="U237" s="7"/>
      <c r="V237" s="7"/>
      <c r="W237" s="7"/>
      <c r="X237" s="7"/>
      <c r="Y237" s="7"/>
      <c r="Z237" s="7"/>
    </row>
    <row r="238" spans="1:26" ht="15.75" customHeight="1">
      <c r="A238" s="7"/>
      <c r="B238" s="7"/>
      <c r="C238" s="29"/>
      <c r="D238" s="30"/>
      <c r="E238" s="30"/>
      <c r="F238" s="30"/>
      <c r="G238" s="30"/>
      <c r="H238" s="30"/>
      <c r="I238" s="7"/>
      <c r="J238" s="7"/>
      <c r="K238" s="7"/>
      <c r="L238" s="7"/>
      <c r="M238" s="7"/>
      <c r="N238" s="7"/>
      <c r="O238" s="7"/>
      <c r="P238" s="7"/>
      <c r="Q238" s="7"/>
      <c r="R238" s="7"/>
      <c r="S238" s="7"/>
      <c r="T238" s="7"/>
      <c r="U238" s="7"/>
      <c r="V238" s="7"/>
      <c r="W238" s="7"/>
      <c r="X238" s="7"/>
      <c r="Y238" s="7"/>
      <c r="Z238" s="7"/>
    </row>
    <row r="239" spans="1:26" ht="15.75" customHeight="1">
      <c r="A239" s="7"/>
      <c r="B239" s="7"/>
      <c r="C239" s="29"/>
      <c r="D239" s="30"/>
      <c r="E239" s="30"/>
      <c r="F239" s="30"/>
      <c r="G239" s="30"/>
      <c r="H239" s="30"/>
      <c r="I239" s="7"/>
      <c r="J239" s="7"/>
      <c r="K239" s="7"/>
      <c r="L239" s="7"/>
      <c r="M239" s="7"/>
      <c r="N239" s="7"/>
      <c r="O239" s="7"/>
      <c r="P239" s="7"/>
      <c r="Q239" s="7"/>
      <c r="R239" s="7"/>
      <c r="S239" s="7"/>
      <c r="T239" s="7"/>
      <c r="U239" s="7"/>
      <c r="V239" s="7"/>
      <c r="W239" s="7"/>
      <c r="X239" s="7"/>
      <c r="Y239" s="7"/>
      <c r="Z239" s="7"/>
    </row>
    <row r="240" spans="1:26" ht="15.75" customHeight="1">
      <c r="A240" s="7"/>
      <c r="B240" s="7"/>
      <c r="C240" s="29"/>
      <c r="D240" s="30"/>
      <c r="E240" s="30"/>
      <c r="F240" s="30"/>
      <c r="G240" s="30"/>
      <c r="H240" s="30"/>
      <c r="I240" s="7"/>
      <c r="J240" s="7"/>
      <c r="K240" s="7"/>
      <c r="L240" s="7"/>
      <c r="M240" s="7"/>
      <c r="N240" s="7"/>
      <c r="O240" s="7"/>
      <c r="P240" s="7"/>
      <c r="Q240" s="7"/>
      <c r="R240" s="7"/>
      <c r="S240" s="7"/>
      <c r="T240" s="7"/>
      <c r="U240" s="7"/>
      <c r="V240" s="7"/>
      <c r="W240" s="7"/>
      <c r="X240" s="7"/>
      <c r="Y240" s="7"/>
      <c r="Z240" s="7"/>
    </row>
    <row r="241" spans="1:26" ht="15.75" customHeight="1">
      <c r="A241" s="7"/>
      <c r="B241" s="7"/>
      <c r="C241" s="29"/>
      <c r="D241" s="30"/>
      <c r="E241" s="30"/>
      <c r="F241" s="30"/>
      <c r="G241" s="30"/>
      <c r="H241" s="30"/>
      <c r="I241" s="7"/>
      <c r="J241" s="7"/>
      <c r="K241" s="7"/>
      <c r="L241" s="7"/>
      <c r="M241" s="7"/>
      <c r="N241" s="7"/>
      <c r="O241" s="7"/>
      <c r="P241" s="7"/>
      <c r="Q241" s="7"/>
      <c r="R241" s="7"/>
      <c r="S241" s="7"/>
      <c r="T241" s="7"/>
      <c r="U241" s="7"/>
      <c r="V241" s="7"/>
      <c r="W241" s="7"/>
      <c r="X241" s="7"/>
      <c r="Y241" s="7"/>
      <c r="Z241" s="7"/>
    </row>
    <row r="242" spans="1:26" ht="15.75" customHeight="1">
      <c r="A242" s="7"/>
      <c r="B242" s="7"/>
      <c r="C242" s="29"/>
      <c r="D242" s="30"/>
      <c r="E242" s="30"/>
      <c r="F242" s="30"/>
      <c r="G242" s="30"/>
      <c r="H242" s="30"/>
      <c r="I242" s="7"/>
      <c r="J242" s="7"/>
      <c r="K242" s="7"/>
      <c r="L242" s="7"/>
      <c r="M242" s="7"/>
      <c r="N242" s="7"/>
      <c r="O242" s="7"/>
      <c r="P242" s="7"/>
      <c r="Q242" s="7"/>
      <c r="R242" s="7"/>
      <c r="S242" s="7"/>
      <c r="T242" s="7"/>
      <c r="U242" s="7"/>
      <c r="V242" s="7"/>
      <c r="W242" s="7"/>
      <c r="X242" s="7"/>
      <c r="Y242" s="7"/>
      <c r="Z242" s="7"/>
    </row>
    <row r="243" spans="1:26" ht="15.75" customHeight="1">
      <c r="A243" s="7"/>
      <c r="B243" s="7"/>
      <c r="C243" s="29"/>
      <c r="D243" s="30"/>
      <c r="E243" s="30"/>
      <c r="F243" s="30"/>
      <c r="G243" s="30"/>
      <c r="H243" s="30"/>
      <c r="I243" s="7"/>
      <c r="J243" s="7"/>
      <c r="K243" s="7"/>
      <c r="L243" s="7"/>
      <c r="M243" s="7"/>
      <c r="N243" s="7"/>
      <c r="O243" s="7"/>
      <c r="P243" s="7"/>
      <c r="Q243" s="7"/>
      <c r="R243" s="7"/>
      <c r="S243" s="7"/>
      <c r="T243" s="7"/>
      <c r="U243" s="7"/>
      <c r="V243" s="7"/>
      <c r="W243" s="7"/>
      <c r="X243" s="7"/>
      <c r="Y243" s="7"/>
      <c r="Z243" s="7"/>
    </row>
    <row r="244" spans="1:26" ht="15.75" customHeight="1">
      <c r="A244" s="7"/>
      <c r="B244" s="7"/>
      <c r="C244" s="29"/>
      <c r="D244" s="30"/>
      <c r="E244" s="30"/>
      <c r="F244" s="30"/>
      <c r="G244" s="30"/>
      <c r="H244" s="30"/>
      <c r="I244" s="7"/>
      <c r="J244" s="7"/>
      <c r="K244" s="7"/>
      <c r="L244" s="7"/>
      <c r="M244" s="7"/>
      <c r="N244" s="7"/>
      <c r="O244" s="7"/>
      <c r="P244" s="7"/>
      <c r="Q244" s="7"/>
      <c r="R244" s="7"/>
      <c r="S244" s="7"/>
      <c r="T244" s="7"/>
      <c r="U244" s="7"/>
      <c r="V244" s="7"/>
      <c r="W244" s="7"/>
      <c r="X244" s="7"/>
      <c r="Y244" s="7"/>
      <c r="Z244" s="7"/>
    </row>
    <row r="245" spans="1:26" ht="15.75" customHeight="1">
      <c r="A245" s="7"/>
      <c r="B245" s="7"/>
      <c r="C245" s="29"/>
      <c r="D245" s="30"/>
      <c r="E245" s="30"/>
      <c r="F245" s="30"/>
      <c r="G245" s="30"/>
      <c r="H245" s="30"/>
      <c r="I245" s="7"/>
      <c r="J245" s="7"/>
      <c r="K245" s="7"/>
      <c r="L245" s="7"/>
      <c r="M245" s="7"/>
      <c r="N245" s="7"/>
      <c r="O245" s="7"/>
      <c r="P245" s="7"/>
      <c r="Q245" s="7"/>
      <c r="R245" s="7"/>
      <c r="S245" s="7"/>
      <c r="T245" s="7"/>
      <c r="U245" s="7"/>
      <c r="V245" s="7"/>
      <c r="W245" s="7"/>
      <c r="X245" s="7"/>
      <c r="Y245" s="7"/>
      <c r="Z245" s="7"/>
    </row>
    <row r="246" spans="1:26" ht="15.75" customHeight="1">
      <c r="A246" s="7"/>
      <c r="B246" s="7"/>
      <c r="C246" s="29"/>
      <c r="D246" s="30"/>
      <c r="E246" s="30"/>
      <c r="F246" s="30"/>
      <c r="G246" s="30"/>
      <c r="H246" s="30"/>
      <c r="I246" s="7"/>
      <c r="J246" s="7"/>
      <c r="K246" s="7"/>
      <c r="L246" s="7"/>
      <c r="M246" s="7"/>
      <c r="N246" s="7"/>
      <c r="O246" s="7"/>
      <c r="P246" s="7"/>
      <c r="Q246" s="7"/>
      <c r="R246" s="7"/>
      <c r="S246" s="7"/>
      <c r="T246" s="7"/>
      <c r="U246" s="7"/>
      <c r="V246" s="7"/>
      <c r="W246" s="7"/>
      <c r="X246" s="7"/>
      <c r="Y246" s="7"/>
      <c r="Z246" s="7"/>
    </row>
    <row r="247" spans="1:26" ht="15.75" customHeight="1">
      <c r="A247" s="7"/>
      <c r="B247" s="7"/>
      <c r="C247" s="29"/>
      <c r="D247" s="30"/>
      <c r="E247" s="30"/>
      <c r="F247" s="30"/>
      <c r="G247" s="30"/>
      <c r="H247" s="30"/>
      <c r="I247" s="7"/>
      <c r="J247" s="7"/>
      <c r="K247" s="7"/>
      <c r="L247" s="7"/>
      <c r="M247" s="7"/>
      <c r="N247" s="7"/>
      <c r="O247" s="7"/>
      <c r="P247" s="7"/>
      <c r="Q247" s="7"/>
      <c r="R247" s="7"/>
      <c r="S247" s="7"/>
      <c r="T247" s="7"/>
      <c r="U247" s="7"/>
      <c r="V247" s="7"/>
      <c r="W247" s="7"/>
      <c r="X247" s="7"/>
      <c r="Y247" s="7"/>
      <c r="Z247" s="7"/>
    </row>
    <row r="248" spans="1:26" ht="15.75" customHeight="1">
      <c r="A248" s="7"/>
      <c r="B248" s="7"/>
      <c r="C248" s="29"/>
      <c r="D248" s="30"/>
      <c r="E248" s="30"/>
      <c r="F248" s="30"/>
      <c r="G248" s="30"/>
      <c r="H248" s="30"/>
      <c r="I248" s="7"/>
      <c r="J248" s="7"/>
      <c r="K248" s="7"/>
      <c r="L248" s="7"/>
      <c r="M248" s="7"/>
      <c r="N248" s="7"/>
      <c r="O248" s="7"/>
      <c r="P248" s="7"/>
      <c r="Q248" s="7"/>
      <c r="R248" s="7"/>
      <c r="S248" s="7"/>
      <c r="T248" s="7"/>
      <c r="U248" s="7"/>
      <c r="V248" s="7"/>
      <c r="W248" s="7"/>
      <c r="X248" s="7"/>
      <c r="Y248" s="7"/>
      <c r="Z248" s="7"/>
    </row>
    <row r="249" spans="1:26" ht="15.75" customHeight="1">
      <c r="A249" s="7"/>
      <c r="B249" s="7"/>
      <c r="C249" s="29"/>
      <c r="D249" s="30"/>
      <c r="E249" s="30"/>
      <c r="F249" s="30"/>
      <c r="G249" s="30"/>
      <c r="H249" s="30"/>
      <c r="I249" s="7"/>
      <c r="J249" s="7"/>
      <c r="K249" s="7"/>
      <c r="L249" s="7"/>
      <c r="M249" s="7"/>
      <c r="N249" s="7"/>
      <c r="O249" s="7"/>
      <c r="P249" s="7"/>
      <c r="Q249" s="7"/>
      <c r="R249" s="7"/>
      <c r="S249" s="7"/>
      <c r="T249" s="7"/>
      <c r="U249" s="7"/>
      <c r="V249" s="7"/>
      <c r="W249" s="7"/>
      <c r="X249" s="7"/>
      <c r="Y249" s="7"/>
      <c r="Z249" s="7"/>
    </row>
    <row r="250" spans="1:26" ht="15.75" customHeight="1">
      <c r="A250" s="7"/>
      <c r="B250" s="7"/>
      <c r="C250" s="29"/>
      <c r="D250" s="30"/>
      <c r="E250" s="30"/>
      <c r="F250" s="30"/>
      <c r="G250" s="30"/>
      <c r="H250" s="30"/>
      <c r="I250" s="7"/>
      <c r="J250" s="7"/>
      <c r="K250" s="7"/>
      <c r="L250" s="7"/>
      <c r="M250" s="7"/>
      <c r="N250" s="7"/>
      <c r="O250" s="7"/>
      <c r="P250" s="7"/>
      <c r="Q250" s="7"/>
      <c r="R250" s="7"/>
      <c r="S250" s="7"/>
      <c r="T250" s="7"/>
      <c r="U250" s="7"/>
      <c r="V250" s="7"/>
      <c r="W250" s="7"/>
      <c r="X250" s="7"/>
      <c r="Y250" s="7"/>
      <c r="Z250" s="7"/>
    </row>
    <row r="251" spans="1:26" ht="15.75" customHeight="1">
      <c r="A251" s="7"/>
      <c r="B251" s="7"/>
      <c r="C251" s="29"/>
      <c r="D251" s="30"/>
      <c r="E251" s="30"/>
      <c r="F251" s="30"/>
      <c r="G251" s="30"/>
      <c r="H251" s="30"/>
      <c r="I251" s="7"/>
      <c r="J251" s="7"/>
      <c r="K251" s="7"/>
      <c r="L251" s="7"/>
      <c r="M251" s="7"/>
      <c r="N251" s="7"/>
      <c r="O251" s="7"/>
      <c r="P251" s="7"/>
      <c r="Q251" s="7"/>
      <c r="R251" s="7"/>
      <c r="S251" s="7"/>
      <c r="T251" s="7"/>
      <c r="U251" s="7"/>
      <c r="V251" s="7"/>
      <c r="W251" s="7"/>
      <c r="X251" s="7"/>
      <c r="Y251" s="7"/>
      <c r="Z251" s="7"/>
    </row>
    <row r="252" spans="1:26" ht="15.75" customHeight="1">
      <c r="A252" s="7"/>
      <c r="B252" s="7"/>
      <c r="C252" s="29"/>
      <c r="D252" s="30"/>
      <c r="E252" s="30"/>
      <c r="F252" s="30"/>
      <c r="G252" s="30"/>
      <c r="H252" s="30"/>
      <c r="I252" s="7"/>
      <c r="J252" s="7"/>
      <c r="K252" s="7"/>
      <c r="L252" s="7"/>
      <c r="M252" s="7"/>
      <c r="N252" s="7"/>
      <c r="O252" s="7"/>
      <c r="P252" s="7"/>
      <c r="Q252" s="7"/>
      <c r="R252" s="7"/>
      <c r="S252" s="7"/>
      <c r="T252" s="7"/>
      <c r="U252" s="7"/>
      <c r="V252" s="7"/>
      <c r="W252" s="7"/>
      <c r="X252" s="7"/>
      <c r="Y252" s="7"/>
      <c r="Z252" s="7"/>
    </row>
    <row r="253" spans="1:26" ht="15.75" customHeight="1">
      <c r="A253" s="7"/>
      <c r="B253" s="7"/>
      <c r="C253" s="29"/>
      <c r="D253" s="30"/>
      <c r="E253" s="30"/>
      <c r="F253" s="30"/>
      <c r="G253" s="30"/>
      <c r="H253" s="30"/>
      <c r="I253" s="7"/>
      <c r="J253" s="7"/>
      <c r="K253" s="7"/>
      <c r="L253" s="7"/>
      <c r="M253" s="7"/>
      <c r="N253" s="7"/>
      <c r="O253" s="7"/>
      <c r="P253" s="7"/>
      <c r="Q253" s="7"/>
      <c r="R253" s="7"/>
      <c r="S253" s="7"/>
      <c r="T253" s="7"/>
      <c r="U253" s="7"/>
      <c r="V253" s="7"/>
      <c r="W253" s="7"/>
      <c r="X253" s="7"/>
      <c r="Y253" s="7"/>
      <c r="Z253" s="7"/>
    </row>
    <row r="254" spans="1:26" ht="15.75" customHeight="1">
      <c r="A254" s="7"/>
      <c r="B254" s="7"/>
      <c r="C254" s="29"/>
      <c r="D254" s="30"/>
      <c r="E254" s="30"/>
      <c r="F254" s="30"/>
      <c r="G254" s="30"/>
      <c r="H254" s="30"/>
      <c r="I254" s="7"/>
      <c r="J254" s="7"/>
      <c r="K254" s="7"/>
      <c r="L254" s="7"/>
      <c r="M254" s="7"/>
      <c r="N254" s="7"/>
      <c r="O254" s="7"/>
      <c r="P254" s="7"/>
      <c r="Q254" s="7"/>
      <c r="R254" s="7"/>
      <c r="S254" s="7"/>
      <c r="T254" s="7"/>
      <c r="U254" s="7"/>
      <c r="V254" s="7"/>
      <c r="W254" s="7"/>
      <c r="X254" s="7"/>
      <c r="Y254" s="7"/>
      <c r="Z254" s="7"/>
    </row>
    <row r="255" spans="1:26" ht="15.75" customHeight="1">
      <c r="A255" s="7"/>
      <c r="B255" s="7"/>
      <c r="C255" s="29"/>
      <c r="D255" s="30"/>
      <c r="E255" s="30"/>
      <c r="F255" s="30"/>
      <c r="G255" s="30"/>
      <c r="H255" s="30"/>
      <c r="I255" s="7"/>
      <c r="J255" s="7"/>
      <c r="K255" s="7"/>
      <c r="L255" s="7"/>
      <c r="M255" s="7"/>
      <c r="N255" s="7"/>
      <c r="O255" s="7"/>
      <c r="P255" s="7"/>
      <c r="Q255" s="7"/>
      <c r="R255" s="7"/>
      <c r="S255" s="7"/>
      <c r="T255" s="7"/>
      <c r="U255" s="7"/>
      <c r="V255" s="7"/>
      <c r="W255" s="7"/>
      <c r="X255" s="7"/>
      <c r="Y255" s="7"/>
      <c r="Z255" s="7"/>
    </row>
    <row r="256" spans="1:26" ht="15.75" customHeight="1">
      <c r="A256" s="7"/>
      <c r="B256" s="7"/>
      <c r="C256" s="29"/>
      <c r="D256" s="30"/>
      <c r="E256" s="30"/>
      <c r="F256" s="30"/>
      <c r="G256" s="30"/>
      <c r="H256" s="30"/>
      <c r="I256" s="7"/>
      <c r="J256" s="7"/>
      <c r="K256" s="7"/>
      <c r="L256" s="7"/>
      <c r="M256" s="7"/>
      <c r="N256" s="7"/>
      <c r="O256" s="7"/>
      <c r="P256" s="7"/>
      <c r="Q256" s="7"/>
      <c r="R256" s="7"/>
      <c r="S256" s="7"/>
      <c r="T256" s="7"/>
      <c r="U256" s="7"/>
      <c r="V256" s="7"/>
      <c r="W256" s="7"/>
      <c r="X256" s="7"/>
      <c r="Y256" s="7"/>
      <c r="Z256" s="7"/>
    </row>
    <row r="257" spans="1:26" ht="15.75" customHeight="1">
      <c r="A257" s="7"/>
      <c r="B257" s="7"/>
      <c r="C257" s="29"/>
      <c r="D257" s="30"/>
      <c r="E257" s="30"/>
      <c r="F257" s="30"/>
      <c r="G257" s="30"/>
      <c r="H257" s="30"/>
      <c r="I257" s="7"/>
      <c r="J257" s="7"/>
      <c r="K257" s="7"/>
      <c r="L257" s="7"/>
      <c r="M257" s="7"/>
      <c r="N257" s="7"/>
      <c r="O257" s="7"/>
      <c r="P257" s="7"/>
      <c r="Q257" s="7"/>
      <c r="R257" s="7"/>
      <c r="S257" s="7"/>
      <c r="T257" s="7"/>
      <c r="U257" s="7"/>
      <c r="V257" s="7"/>
      <c r="W257" s="7"/>
      <c r="X257" s="7"/>
      <c r="Y257" s="7"/>
      <c r="Z257" s="7"/>
    </row>
    <row r="258" spans="1:26" ht="15.75" customHeight="1">
      <c r="A258" s="7"/>
      <c r="B258" s="7"/>
      <c r="C258" s="29"/>
      <c r="D258" s="30"/>
      <c r="E258" s="30"/>
      <c r="F258" s="30"/>
      <c r="G258" s="30"/>
      <c r="H258" s="30"/>
      <c r="I258" s="7"/>
      <c r="J258" s="7"/>
      <c r="K258" s="7"/>
      <c r="L258" s="7"/>
      <c r="M258" s="7"/>
      <c r="N258" s="7"/>
      <c r="O258" s="7"/>
      <c r="P258" s="7"/>
      <c r="Q258" s="7"/>
      <c r="R258" s="7"/>
      <c r="S258" s="7"/>
      <c r="T258" s="7"/>
      <c r="U258" s="7"/>
      <c r="V258" s="7"/>
      <c r="W258" s="7"/>
      <c r="X258" s="7"/>
      <c r="Y258" s="7"/>
      <c r="Z258" s="7"/>
    </row>
    <row r="259" spans="1:26" ht="15.75" customHeight="1">
      <c r="A259" s="7"/>
      <c r="B259" s="7"/>
      <c r="C259" s="29"/>
      <c r="D259" s="30"/>
      <c r="E259" s="30"/>
      <c r="F259" s="30"/>
      <c r="G259" s="30"/>
      <c r="H259" s="30"/>
      <c r="I259" s="7"/>
      <c r="J259" s="7"/>
      <c r="K259" s="7"/>
      <c r="L259" s="7"/>
      <c r="M259" s="7"/>
      <c r="N259" s="7"/>
      <c r="O259" s="7"/>
      <c r="P259" s="7"/>
      <c r="Q259" s="7"/>
      <c r="R259" s="7"/>
      <c r="S259" s="7"/>
      <c r="T259" s="7"/>
      <c r="U259" s="7"/>
      <c r="V259" s="7"/>
      <c r="W259" s="7"/>
      <c r="X259" s="7"/>
      <c r="Y259" s="7"/>
      <c r="Z259" s="7"/>
    </row>
    <row r="260" spans="1:26" ht="15.75" customHeight="1">
      <c r="A260" s="7"/>
      <c r="B260" s="7"/>
      <c r="C260" s="29"/>
      <c r="D260" s="30"/>
      <c r="E260" s="30"/>
      <c r="F260" s="30"/>
      <c r="G260" s="30"/>
      <c r="H260" s="30"/>
      <c r="I260" s="7"/>
      <c r="J260" s="7"/>
      <c r="K260" s="7"/>
      <c r="L260" s="7"/>
      <c r="M260" s="7"/>
      <c r="N260" s="7"/>
      <c r="O260" s="7"/>
      <c r="P260" s="7"/>
      <c r="Q260" s="7"/>
      <c r="R260" s="7"/>
      <c r="S260" s="7"/>
      <c r="T260" s="7"/>
      <c r="U260" s="7"/>
      <c r="V260" s="7"/>
      <c r="W260" s="7"/>
      <c r="X260" s="7"/>
      <c r="Y260" s="7"/>
      <c r="Z260" s="7"/>
    </row>
    <row r="261" spans="1:26" ht="15.75" customHeight="1">
      <c r="A261" s="7"/>
      <c r="B261" s="7"/>
      <c r="C261" s="29"/>
      <c r="D261" s="30"/>
      <c r="E261" s="30"/>
      <c r="F261" s="30"/>
      <c r="G261" s="30"/>
      <c r="H261" s="30"/>
      <c r="I261" s="7"/>
      <c r="J261" s="7"/>
      <c r="K261" s="7"/>
      <c r="L261" s="7"/>
      <c r="M261" s="7"/>
      <c r="N261" s="7"/>
      <c r="O261" s="7"/>
      <c r="P261" s="7"/>
      <c r="Q261" s="7"/>
      <c r="R261" s="7"/>
      <c r="S261" s="7"/>
      <c r="T261" s="7"/>
      <c r="U261" s="7"/>
      <c r="V261" s="7"/>
      <c r="W261" s="7"/>
      <c r="X261" s="7"/>
      <c r="Y261" s="7"/>
      <c r="Z261" s="7"/>
    </row>
    <row r="262" spans="1:26" ht="15.75" customHeight="1"/>
    <row r="263" spans="1:26" ht="15.75" customHeight="1"/>
    <row r="264" spans="1:26" ht="15.75" customHeight="1"/>
    <row r="265" spans="1:26" ht="15.75" customHeight="1"/>
    <row r="266" spans="1:26" ht="15.75" customHeight="1"/>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5">
    <mergeCell ref="D2:H2"/>
    <mergeCell ref="I2:M2"/>
    <mergeCell ref="N45:T47"/>
    <mergeCell ref="N60:U60"/>
    <mergeCell ref="N57:S57"/>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998"/>
  <sheetViews>
    <sheetView showGridLines="0" workbookViewId="0">
      <pane ySplit="3" topLeftCell="A35" activePane="bottomLeft" state="frozen"/>
      <selection pane="bottomLeft" activeCell="B52" sqref="B52"/>
    </sheetView>
  </sheetViews>
  <sheetFormatPr defaultColWidth="10.1796875" defaultRowHeight="15" customHeight="1"/>
  <cols>
    <col min="1" max="1" width="2.453125" customWidth="1"/>
    <col min="2" max="2" width="38.453125" customWidth="1"/>
  </cols>
  <sheetData>
    <row r="1" spans="1:25" ht="15" customHeight="1">
      <c r="A1" s="5" t="s">
        <v>237</v>
      </c>
      <c r="B1" s="7"/>
      <c r="C1" s="29"/>
      <c r="D1" s="30"/>
      <c r="E1" s="30"/>
      <c r="F1" s="30"/>
      <c r="G1" s="30"/>
      <c r="H1" s="30"/>
      <c r="I1" s="7"/>
      <c r="J1" s="7"/>
      <c r="K1" s="7"/>
      <c r="L1" s="7"/>
      <c r="M1" s="7"/>
      <c r="N1" s="7"/>
      <c r="O1" s="7"/>
      <c r="P1" s="7"/>
      <c r="Q1" s="7"/>
      <c r="R1" s="7"/>
      <c r="S1" s="7"/>
      <c r="T1" s="7"/>
      <c r="U1" s="7"/>
      <c r="V1" s="7"/>
      <c r="W1" s="7"/>
      <c r="X1" s="7"/>
      <c r="Y1" s="7"/>
    </row>
    <row r="2" spans="1:25" ht="15" customHeight="1">
      <c r="A2" s="31"/>
      <c r="B2" s="31"/>
      <c r="C2" s="32"/>
      <c r="D2" s="591" t="s">
        <v>48</v>
      </c>
      <c r="E2" s="592"/>
      <c r="F2" s="592"/>
      <c r="G2" s="592"/>
      <c r="H2" s="593"/>
      <c r="I2" s="591" t="s">
        <v>49</v>
      </c>
      <c r="J2" s="592"/>
      <c r="K2" s="592"/>
      <c r="L2" s="592"/>
      <c r="M2" s="593"/>
      <c r="N2" s="7"/>
      <c r="O2" s="7"/>
      <c r="P2" s="7"/>
      <c r="Q2" s="7"/>
      <c r="R2" s="7"/>
      <c r="S2" s="7"/>
      <c r="T2" s="7"/>
      <c r="U2" s="7"/>
      <c r="V2" s="7"/>
      <c r="W2" s="7"/>
      <c r="X2" s="7"/>
      <c r="Y2" s="7"/>
    </row>
    <row r="3" spans="1:25">
      <c r="A3" s="134" t="s">
        <v>238</v>
      </c>
      <c r="B3" s="35"/>
      <c r="C3" s="36" t="s">
        <v>51</v>
      </c>
      <c r="D3" s="37" t="s">
        <v>17</v>
      </c>
      <c r="E3" s="37" t="s">
        <v>18</v>
      </c>
      <c r="F3" s="37" t="s">
        <v>19</v>
      </c>
      <c r="G3" s="37" t="s">
        <v>20</v>
      </c>
      <c r="H3" s="37" t="s">
        <v>21</v>
      </c>
      <c r="I3" s="38" t="s">
        <v>22</v>
      </c>
      <c r="J3" s="39" t="s">
        <v>23</v>
      </c>
      <c r="K3" s="39" t="s">
        <v>24</v>
      </c>
      <c r="L3" s="39" t="s">
        <v>25</v>
      </c>
      <c r="M3" s="39" t="s">
        <v>26</v>
      </c>
      <c r="N3" s="7"/>
      <c r="O3" s="7"/>
      <c r="P3" s="7"/>
      <c r="Q3" s="7"/>
      <c r="R3" s="7"/>
      <c r="S3" s="7"/>
      <c r="T3" s="7"/>
      <c r="U3" s="7"/>
      <c r="V3" s="7"/>
      <c r="W3" s="7"/>
      <c r="X3" s="7"/>
      <c r="Y3" s="7"/>
    </row>
    <row r="4" spans="1:25">
      <c r="A4" s="7"/>
      <c r="B4" s="7"/>
      <c r="C4" s="30"/>
      <c r="D4" s="30"/>
      <c r="E4" s="30"/>
      <c r="F4" s="30"/>
      <c r="G4" s="30"/>
      <c r="H4" s="30"/>
      <c r="I4" s="53"/>
      <c r="J4" s="30"/>
      <c r="K4" s="30"/>
      <c r="L4" s="30"/>
      <c r="M4" s="30"/>
      <c r="N4" s="7"/>
      <c r="O4" s="7"/>
      <c r="P4" s="7"/>
      <c r="Q4" s="7"/>
      <c r="R4" s="7"/>
      <c r="S4" s="7"/>
      <c r="T4" s="7"/>
      <c r="U4" s="7"/>
      <c r="V4" s="7"/>
      <c r="W4" s="7"/>
      <c r="X4" s="7"/>
      <c r="Y4" s="7"/>
    </row>
    <row r="5" spans="1:25">
      <c r="A5" s="7"/>
      <c r="B5" s="64" t="s">
        <v>239</v>
      </c>
      <c r="C5" s="30"/>
      <c r="D5" s="30"/>
      <c r="E5" s="30"/>
      <c r="F5" s="30"/>
      <c r="G5" s="30"/>
      <c r="H5" s="30"/>
      <c r="I5" s="53"/>
      <c r="J5" s="30"/>
      <c r="K5" s="30"/>
      <c r="L5" s="30"/>
      <c r="M5" s="30"/>
      <c r="N5" s="7"/>
      <c r="O5" s="7"/>
      <c r="P5" s="7"/>
      <c r="Q5" s="7"/>
      <c r="R5" s="7"/>
      <c r="S5" s="7"/>
      <c r="T5" s="7"/>
      <c r="U5" s="7"/>
      <c r="V5" s="7"/>
      <c r="W5" s="7"/>
      <c r="X5" s="7"/>
      <c r="Y5" s="7"/>
    </row>
    <row r="6" spans="1:25" ht="15" customHeight="1">
      <c r="A6" s="7"/>
      <c r="B6" s="14" t="s">
        <v>240</v>
      </c>
      <c r="C6" s="29"/>
      <c r="D6" s="244"/>
      <c r="E6" s="244"/>
      <c r="F6" s="244"/>
      <c r="G6" s="244"/>
      <c r="H6" s="244"/>
      <c r="I6" s="94"/>
      <c r="J6" s="57"/>
      <c r="K6" s="57"/>
      <c r="L6" s="57"/>
      <c r="M6" s="57"/>
      <c r="N6" s="7"/>
      <c r="O6" s="7"/>
      <c r="P6" s="7"/>
      <c r="Q6" s="7"/>
      <c r="R6" s="7"/>
      <c r="S6" s="7"/>
      <c r="T6" s="7"/>
      <c r="U6" s="7"/>
      <c r="V6" s="7"/>
      <c r="W6" s="7"/>
      <c r="X6" s="7"/>
      <c r="Y6" s="7"/>
    </row>
    <row r="7" spans="1:25" ht="15" customHeight="1">
      <c r="A7" s="7"/>
      <c r="B7" s="16" t="s">
        <v>14</v>
      </c>
      <c r="C7" s="29" t="s">
        <v>53</v>
      </c>
      <c r="D7" s="103">
        <f>174902.357+'Cash Flow'!D60</f>
        <v>57833.860999999975</v>
      </c>
      <c r="E7" s="103">
        <f>D7+'Cash Flow'!E60</f>
        <v>73688.646000000008</v>
      </c>
      <c r="F7" s="103">
        <f>E7+'Cash Flow'!F60</f>
        <v>53568.038999999982</v>
      </c>
      <c r="G7" s="103">
        <f>F7+'Cash Flow'!G60</f>
        <v>29134.528999999966</v>
      </c>
      <c r="H7" s="103">
        <f>G7+'Cash Flow'!H60</f>
        <v>69089.142999999953</v>
      </c>
      <c r="I7" s="192">
        <f>H7+'Cash Flow'!I60</f>
        <v>49539.634815230638</v>
      </c>
      <c r="J7" s="103">
        <f>I7+'Cash Flow'!J60</f>
        <v>50813.004765020443</v>
      </c>
      <c r="K7" s="103">
        <f>J7+'Cash Flow'!K60</f>
        <v>52165.766122833287</v>
      </c>
      <c r="L7" s="103">
        <f>K7+'Cash Flow'!L60</f>
        <v>53462.165299179949</v>
      </c>
      <c r="M7" s="103">
        <f>L7+'Cash Flow'!M60</f>
        <v>54831.323357992209</v>
      </c>
      <c r="N7" s="7"/>
      <c r="O7" s="7"/>
      <c r="P7" s="7"/>
      <c r="Q7" s="7"/>
      <c r="R7" s="7"/>
      <c r="S7" s="7"/>
      <c r="T7" s="7"/>
      <c r="U7" s="7"/>
      <c r="V7" s="7"/>
      <c r="W7" s="7"/>
      <c r="X7" s="7"/>
      <c r="Y7" s="7"/>
    </row>
    <row r="8" spans="1:25" ht="15" customHeight="1">
      <c r="A8" s="7"/>
      <c r="B8" s="16" t="s">
        <v>241</v>
      </c>
      <c r="C8" s="29" t="s">
        <v>53</v>
      </c>
      <c r="D8" s="20">
        <v>6596.9960000000001</v>
      </c>
      <c r="E8" s="20">
        <v>1622.2539999999999</v>
      </c>
      <c r="F8" s="20">
        <v>11689.957</v>
      </c>
      <c r="G8" s="20">
        <v>1657.2249999999999</v>
      </c>
      <c r="H8" s="20">
        <v>1215.039</v>
      </c>
      <c r="I8" s="192">
        <f>'Income Assumptions'!K5*'Balance Assumptions'!I6</f>
        <v>1238.490870380766</v>
      </c>
      <c r="J8" s="103">
        <f>'Income Assumptions'!L5*'Balance Assumptions'!J6</f>
        <v>1270.325119125511</v>
      </c>
      <c r="K8" s="103">
        <f>'Income Assumptions'!M5*'Balance Assumptions'!K6</f>
        <v>1304.1441530708323</v>
      </c>
      <c r="L8" s="103">
        <f>'Income Assumptions'!N5*'Balance Assumptions'!L6</f>
        <v>1336.5541324794985</v>
      </c>
      <c r="M8" s="103">
        <f>'Income Assumptions'!O5*'Balance Assumptions'!M6</f>
        <v>1370.7830839498047</v>
      </c>
      <c r="N8" s="7"/>
      <c r="O8" s="7"/>
      <c r="P8" s="7"/>
      <c r="Q8" s="7"/>
      <c r="R8" s="7"/>
      <c r="S8" s="7"/>
      <c r="T8" s="7"/>
      <c r="U8" s="7"/>
      <c r="V8" s="7"/>
      <c r="W8" s="7"/>
      <c r="X8" s="7"/>
      <c r="Y8" s="7"/>
    </row>
    <row r="9" spans="1:25" ht="15" customHeight="1">
      <c r="A9" s="7"/>
      <c r="B9" s="16" t="s">
        <v>242</v>
      </c>
      <c r="C9" s="29" t="s">
        <v>53</v>
      </c>
      <c r="D9" s="20">
        <v>44990.6</v>
      </c>
      <c r="E9" s="20">
        <v>30501.198</v>
      </c>
      <c r="F9" s="20">
        <v>41705.040999999997</v>
      </c>
      <c r="G9" s="20">
        <v>33205.048000000003</v>
      </c>
      <c r="H9" s="20">
        <v>49107.089</v>
      </c>
      <c r="I9" s="192">
        <v>49107</v>
      </c>
      <c r="J9" s="103">
        <v>49107</v>
      </c>
      <c r="K9" s="103">
        <v>49107</v>
      </c>
      <c r="L9" s="103">
        <v>49107</v>
      </c>
      <c r="M9" s="103">
        <v>49107</v>
      </c>
      <c r="N9" s="7"/>
      <c r="O9" s="4"/>
      <c r="P9" s="4"/>
      <c r="Q9" s="4"/>
      <c r="R9" s="4"/>
      <c r="S9" s="4"/>
      <c r="T9" s="4"/>
      <c r="U9" s="4"/>
      <c r="V9" s="4"/>
      <c r="W9" s="4"/>
      <c r="X9" s="4"/>
      <c r="Y9" s="7"/>
    </row>
    <row r="10" spans="1:25" ht="15" customHeight="1">
      <c r="A10" s="7"/>
      <c r="B10" s="16" t="s">
        <v>140</v>
      </c>
      <c r="C10" s="29" t="s">
        <v>53</v>
      </c>
      <c r="D10" s="20">
        <v>16399.98</v>
      </c>
      <c r="E10" s="20">
        <v>59974.224999999999</v>
      </c>
      <c r="F10" s="20">
        <v>17439.434000000001</v>
      </c>
      <c r="G10" s="20">
        <v>32046.51</v>
      </c>
      <c r="H10" s="20">
        <v>37012.042000000001</v>
      </c>
      <c r="I10" s="192">
        <f>'Income Assumptions'!K5*'Balance Assumptions'!I7</f>
        <v>37154.726111422977</v>
      </c>
      <c r="J10" s="103">
        <f>'Income Assumptions'!L5*'Balance Assumptions'!J7</f>
        <v>38109.753573765331</v>
      </c>
      <c r="K10" s="103">
        <f>'Income Assumptions'!M5*'Balance Assumptions'!K7</f>
        <v>39124.324592124969</v>
      </c>
      <c r="L10" s="103">
        <f>'Income Assumptions'!N5*'Balance Assumptions'!L7</f>
        <v>40096.623974384951</v>
      </c>
      <c r="M10" s="103">
        <f>'Income Assumptions'!O5*'Balance Assumptions'!M7</f>
        <v>41123.492518494138</v>
      </c>
      <c r="N10" s="7"/>
      <c r="O10" s="7"/>
      <c r="P10" s="7"/>
      <c r="Q10" s="7"/>
      <c r="R10" s="7"/>
      <c r="S10" s="7"/>
      <c r="T10" s="7"/>
      <c r="U10" s="7"/>
      <c r="V10" s="7"/>
      <c r="W10" s="7"/>
      <c r="X10" s="7"/>
      <c r="Y10" s="7"/>
    </row>
    <row r="11" spans="1:25" ht="15" customHeight="1">
      <c r="A11" s="7"/>
      <c r="B11" s="16" t="s">
        <v>141</v>
      </c>
      <c r="C11" s="29" t="s">
        <v>53</v>
      </c>
      <c r="D11" s="20">
        <v>6476.5590000000002</v>
      </c>
      <c r="E11" s="20">
        <v>6425.6869999999999</v>
      </c>
      <c r="F11" s="20">
        <v>11037.13</v>
      </c>
      <c r="G11" s="20">
        <v>11403.328</v>
      </c>
      <c r="H11" s="20">
        <v>8228.2559999999994</v>
      </c>
      <c r="I11" s="192">
        <f>'Balance Assumptions'!I8*'Income Assumptions'!K5</f>
        <v>7430.9452222845948</v>
      </c>
      <c r="J11" s="103">
        <f>'Balance Assumptions'!J8*'Income Assumptions'!L5</f>
        <v>7621.9507147530667</v>
      </c>
      <c r="K11" s="103">
        <f>'Balance Assumptions'!K8*'Income Assumptions'!M5</f>
        <v>7824.8649184249934</v>
      </c>
      <c r="L11" s="103">
        <f>'Balance Assumptions'!L8*'Income Assumptions'!N5</f>
        <v>8019.3247948769904</v>
      </c>
      <c r="M11" s="103">
        <f>'Balance Assumptions'!M8*'Income Assumptions'!O5</f>
        <v>8224.6985036988281</v>
      </c>
      <c r="N11" s="7"/>
      <c r="O11" s="7"/>
      <c r="P11" s="7"/>
      <c r="Q11" s="7"/>
      <c r="R11" s="7"/>
      <c r="S11" s="7"/>
      <c r="T11" s="7"/>
      <c r="U11" s="7"/>
      <c r="V11" s="7"/>
      <c r="W11" s="7"/>
      <c r="X11" s="7"/>
      <c r="Y11" s="7"/>
    </row>
    <row r="12" spans="1:25" ht="15" customHeight="1">
      <c r="A12" s="7"/>
      <c r="B12" s="16" t="s">
        <v>243</v>
      </c>
      <c r="C12" s="29" t="s">
        <v>53</v>
      </c>
      <c r="D12" s="20">
        <v>9554.09</v>
      </c>
      <c r="E12" s="20">
        <v>4031.4259999999999</v>
      </c>
      <c r="F12" s="20">
        <v>3398.174</v>
      </c>
      <c r="G12" s="20">
        <v>3457.66</v>
      </c>
      <c r="H12" s="148">
        <v>4059.4110000000001</v>
      </c>
      <c r="I12" s="192">
        <f>'Income Assumptions'!K54*'Balance Assumptions'!I9</f>
        <v>3901.2462416994122</v>
      </c>
      <c r="J12" s="103">
        <f>'Income Assumptions'!L54*'Balance Assumptions'!J9</f>
        <v>3734.755850229003</v>
      </c>
      <c r="K12" s="103">
        <f>'Income Assumptions'!M54*'Balance Assumptions'!K9</f>
        <v>3286.4432657384968</v>
      </c>
      <c r="L12" s="103">
        <f>'Income Assumptions'!N54*'Balance Assumptions'!L9</f>
        <v>3368.1164138483359</v>
      </c>
      <c r="M12" s="103">
        <f>'Income Assumptions'!O54*'Balance Assumptions'!M9</f>
        <v>3454.3733715535077</v>
      </c>
      <c r="N12" s="7"/>
      <c r="O12" s="7"/>
      <c r="P12" s="7"/>
      <c r="Q12" s="7"/>
      <c r="R12" s="7"/>
      <c r="S12" s="7"/>
      <c r="T12" s="7"/>
      <c r="U12" s="7"/>
      <c r="V12" s="7"/>
      <c r="W12" s="7"/>
      <c r="X12" s="7"/>
      <c r="Y12" s="7"/>
    </row>
    <row r="13" spans="1:25" ht="15" customHeight="1">
      <c r="A13" s="7"/>
      <c r="B13" s="245" t="s">
        <v>143</v>
      </c>
      <c r="C13" s="217" t="s">
        <v>53</v>
      </c>
      <c r="D13" s="158">
        <v>916.20399999999995</v>
      </c>
      <c r="E13" s="158">
        <v>422.43900000000002</v>
      </c>
      <c r="F13" s="158">
        <v>303.57900000000001</v>
      </c>
      <c r="G13" s="158">
        <v>81.522999999999996</v>
      </c>
      <c r="H13" s="158">
        <v>690.43499999999995</v>
      </c>
      <c r="I13" s="246">
        <f>'Income Assumptions'!K5*'Balance Assumptions'!I10</f>
        <v>743.09452222845948</v>
      </c>
      <c r="J13" s="247">
        <f>'Income Assumptions'!L5*'Balance Assumptions'!J10</f>
        <v>762.19507147530669</v>
      </c>
      <c r="K13" s="247">
        <f>'Income Assumptions'!M5*'Balance Assumptions'!K10</f>
        <v>782.48649184249939</v>
      </c>
      <c r="L13" s="247">
        <f>'Income Assumptions'!N5*'Balance Assumptions'!L10</f>
        <v>801.93247948769908</v>
      </c>
      <c r="M13" s="247">
        <f>'Income Assumptions'!O5*'Balance Assumptions'!M10</f>
        <v>822.46985036988281</v>
      </c>
      <c r="N13" s="7"/>
      <c r="O13" s="7"/>
      <c r="P13" s="7"/>
      <c r="Q13" s="7"/>
      <c r="R13" s="7"/>
      <c r="S13" s="7"/>
      <c r="T13" s="7"/>
      <c r="U13" s="7"/>
      <c r="V13" s="7"/>
      <c r="W13" s="7"/>
      <c r="X13" s="7"/>
      <c r="Y13" s="7"/>
    </row>
    <row r="14" spans="1:25">
      <c r="A14" s="7"/>
      <c r="B14" s="248"/>
      <c r="C14" s="249"/>
      <c r="D14" s="250"/>
      <c r="E14" s="250"/>
      <c r="F14" s="250"/>
      <c r="G14" s="250"/>
      <c r="H14" s="250"/>
      <c r="I14" s="119"/>
      <c r="J14" s="120"/>
      <c r="K14" s="120"/>
      <c r="L14" s="120"/>
      <c r="M14" s="120"/>
      <c r="N14" s="7"/>
      <c r="O14" s="7"/>
      <c r="P14" s="7"/>
      <c r="Q14" s="7"/>
      <c r="R14" s="7"/>
      <c r="S14" s="7"/>
      <c r="T14" s="7"/>
      <c r="U14" s="7"/>
      <c r="V14" s="7"/>
      <c r="W14" s="7"/>
      <c r="X14" s="7"/>
      <c r="Y14" s="7"/>
    </row>
    <row r="15" spans="1:25">
      <c r="A15" s="7"/>
      <c r="B15" s="14" t="s">
        <v>244</v>
      </c>
      <c r="C15" s="55" t="s">
        <v>53</v>
      </c>
      <c r="D15" s="57">
        <f t="shared" ref="D15:M15" si="0">SUM(D7:D13)</f>
        <v>142768.28999999995</v>
      </c>
      <c r="E15" s="57">
        <f t="shared" si="0"/>
        <v>176665.87500000003</v>
      </c>
      <c r="F15" s="57">
        <f t="shared" si="0"/>
        <v>139141.35399999999</v>
      </c>
      <c r="G15" s="57">
        <f t="shared" si="0"/>
        <v>110985.82299999996</v>
      </c>
      <c r="H15" s="57">
        <f t="shared" si="0"/>
        <v>169401.41499999995</v>
      </c>
      <c r="I15" s="94">
        <f t="shared" si="0"/>
        <v>149115.13778324684</v>
      </c>
      <c r="J15" s="57">
        <f t="shared" si="0"/>
        <v>151418.98509436869</v>
      </c>
      <c r="K15" s="57">
        <f t="shared" si="0"/>
        <v>153595.02954403503</v>
      </c>
      <c r="L15" s="57">
        <f t="shared" si="0"/>
        <v>156191.71709425742</v>
      </c>
      <c r="M15" s="57">
        <f t="shared" si="0"/>
        <v>158934.14068605838</v>
      </c>
      <c r="N15" s="7"/>
      <c r="O15" s="7"/>
      <c r="P15" s="7"/>
      <c r="Q15" s="7"/>
      <c r="R15" s="7"/>
      <c r="S15" s="7"/>
      <c r="T15" s="7"/>
      <c r="U15" s="7"/>
      <c r="V15" s="7"/>
      <c r="W15" s="7"/>
      <c r="X15" s="7"/>
      <c r="Y15" s="7"/>
    </row>
    <row r="16" spans="1:25">
      <c r="A16" s="7"/>
      <c r="B16" s="7"/>
      <c r="C16" s="30"/>
      <c r="D16" s="30"/>
      <c r="E16" s="30"/>
      <c r="F16" s="30"/>
      <c r="G16" s="30"/>
      <c r="H16" s="30"/>
      <c r="I16" s="122"/>
      <c r="J16" s="20"/>
      <c r="K16" s="20"/>
      <c r="L16" s="20"/>
      <c r="M16" s="20"/>
      <c r="N16" s="7"/>
      <c r="O16" s="7"/>
      <c r="P16" s="7"/>
      <c r="Q16" s="7"/>
      <c r="R16" s="7"/>
      <c r="S16" s="7"/>
      <c r="T16" s="7"/>
      <c r="U16" s="7"/>
      <c r="V16" s="7"/>
      <c r="W16" s="7"/>
      <c r="X16" s="7"/>
      <c r="Y16" s="7"/>
    </row>
    <row r="17" spans="1:25" ht="15" customHeight="1">
      <c r="A17" s="7"/>
      <c r="B17" s="14" t="s">
        <v>245</v>
      </c>
      <c r="C17" s="29"/>
      <c r="D17" s="244"/>
      <c r="E17" s="244"/>
      <c r="F17" s="244"/>
      <c r="G17" s="244"/>
      <c r="H17" s="244"/>
      <c r="I17" s="94"/>
      <c r="J17" s="57"/>
      <c r="K17" s="57"/>
      <c r="L17" s="57"/>
      <c r="M17" s="57"/>
      <c r="N17" s="7"/>
      <c r="O17" s="7"/>
      <c r="P17" s="7"/>
      <c r="Q17" s="7"/>
      <c r="R17" s="7"/>
      <c r="S17" s="7"/>
      <c r="T17" s="7"/>
      <c r="U17" s="7"/>
      <c r="V17" s="7"/>
      <c r="W17" s="7"/>
      <c r="X17" s="7"/>
      <c r="Y17" s="7"/>
    </row>
    <row r="18" spans="1:25" ht="15" customHeight="1">
      <c r="A18" s="7"/>
      <c r="B18" s="16" t="s">
        <v>246</v>
      </c>
      <c r="C18" s="29" t="s">
        <v>53</v>
      </c>
      <c r="D18" s="103">
        <f>'Balance Assumptions'!D66</f>
        <v>319241.51</v>
      </c>
      <c r="E18" s="103">
        <f>'Balance Assumptions'!E66</f>
        <v>307222.63400000002</v>
      </c>
      <c r="F18" s="103">
        <f>'Balance Assumptions'!F66</f>
        <v>302240.24699999997</v>
      </c>
      <c r="G18" s="103">
        <f>'Balance Assumptions'!G66</f>
        <v>311836.83100000001</v>
      </c>
      <c r="H18" s="103">
        <f>'Balance Assumptions'!H66</f>
        <v>308491.35200000001</v>
      </c>
      <c r="I18" s="192">
        <f>'Balance Assumptions'!I66</f>
        <v>285334.20281463489</v>
      </c>
      <c r="J18" s="103">
        <f>'Balance Assumptions'!J66</f>
        <v>271765.03421050077</v>
      </c>
      <c r="K18" s="103">
        <f>'Balance Assumptions'!K66</f>
        <v>265317.37822984456</v>
      </c>
      <c r="L18" s="103">
        <f>'Balance Assumptions'!L66</f>
        <v>268451.50449803553</v>
      </c>
      <c r="M18" s="103">
        <f>'Balance Assumptions'!M66</f>
        <v>273390.90048395557</v>
      </c>
      <c r="N18" s="7"/>
      <c r="O18" s="7"/>
      <c r="P18" s="7"/>
      <c r="Q18" s="7"/>
      <c r="R18" s="7"/>
      <c r="S18" s="7"/>
      <c r="T18" s="7"/>
      <c r="U18" s="7"/>
      <c r="V18" s="7"/>
      <c r="W18" s="7"/>
      <c r="X18" s="7"/>
      <c r="Y18" s="7"/>
    </row>
    <row r="19" spans="1:25" ht="15" customHeight="1">
      <c r="A19" s="7"/>
      <c r="B19" s="16" t="s">
        <v>247</v>
      </c>
      <c r="C19" s="29" t="s">
        <v>53</v>
      </c>
      <c r="D19" s="20">
        <v>62932.741000000002</v>
      </c>
      <c r="E19" s="20">
        <v>56554.402999999998</v>
      </c>
      <c r="F19" s="20">
        <v>52203.981</v>
      </c>
      <c r="G19" s="20">
        <v>46782.387000000002</v>
      </c>
      <c r="H19" s="20">
        <v>38672.536999999997</v>
      </c>
      <c r="I19" s="192">
        <f>'Debt Schedule'!I70</f>
        <v>33938.460800000001</v>
      </c>
      <c r="J19" s="103">
        <f>'Debt Schedule'!J70</f>
        <v>30150.968640000003</v>
      </c>
      <c r="K19" s="103">
        <f>'Debt Schedule'!K70</f>
        <v>27120.974912000005</v>
      </c>
      <c r="L19" s="103">
        <f>'Debt Schedule'!L70</f>
        <v>24696.979929600006</v>
      </c>
      <c r="M19" s="103">
        <f>'Debt Schedule'!M70</f>
        <v>22757.783943680006</v>
      </c>
      <c r="N19" s="7"/>
      <c r="O19" s="7"/>
      <c r="P19" s="7"/>
      <c r="Q19" s="7"/>
      <c r="R19" s="7"/>
      <c r="S19" s="7"/>
      <c r="T19" s="7"/>
      <c r="U19" s="7"/>
      <c r="V19" s="7"/>
      <c r="W19" s="7"/>
      <c r="X19" s="7"/>
      <c r="Y19" s="7"/>
    </row>
    <row r="20" spans="1:25" ht="15" customHeight="1">
      <c r="A20" s="7"/>
      <c r="B20" s="245" t="s">
        <v>143</v>
      </c>
      <c r="C20" s="217" t="s">
        <v>53</v>
      </c>
      <c r="D20" s="158">
        <v>681.47900000000004</v>
      </c>
      <c r="E20" s="158">
        <v>1312.9</v>
      </c>
      <c r="F20" s="158">
        <v>668.82500000000005</v>
      </c>
      <c r="G20" s="158">
        <v>573.17999999999995</v>
      </c>
      <c r="H20" s="158">
        <v>168.684</v>
      </c>
      <c r="I20" s="246">
        <f>'Balance Assumptions'!I11*'Income Assumptions'!K5</f>
        <v>247.69817407615318</v>
      </c>
      <c r="J20" s="247">
        <f>'Balance Assumptions'!J11*'Income Assumptions'!L5</f>
        <v>254.06502382510223</v>
      </c>
      <c r="K20" s="247">
        <f>'Balance Assumptions'!K11*'Income Assumptions'!M5</f>
        <v>260.82883061416646</v>
      </c>
      <c r="L20" s="247">
        <f>'Balance Assumptions'!L11*'Income Assumptions'!N5</f>
        <v>267.31082649589973</v>
      </c>
      <c r="M20" s="247">
        <f>'Balance Assumptions'!M11*'Income Assumptions'!O5</f>
        <v>274.15661678996094</v>
      </c>
      <c r="N20" s="7"/>
      <c r="O20" s="7"/>
      <c r="P20" s="7"/>
      <c r="Q20" s="7"/>
      <c r="R20" s="7"/>
      <c r="S20" s="7"/>
      <c r="T20" s="7"/>
      <c r="U20" s="7"/>
      <c r="V20" s="7"/>
      <c r="W20" s="7"/>
      <c r="X20" s="7"/>
      <c r="Y20" s="7"/>
    </row>
    <row r="21" spans="1:25" ht="15.75" customHeight="1">
      <c r="A21" s="7"/>
      <c r="B21" s="248"/>
      <c r="C21" s="249"/>
      <c r="D21" s="250"/>
      <c r="E21" s="250"/>
      <c r="F21" s="250"/>
      <c r="G21" s="250"/>
      <c r="H21" s="250"/>
      <c r="I21" s="251"/>
      <c r="J21" s="250"/>
      <c r="K21" s="250"/>
      <c r="L21" s="250"/>
      <c r="M21" s="250"/>
      <c r="N21" s="7"/>
      <c r="O21" s="7"/>
      <c r="P21" s="7"/>
      <c r="Q21" s="7"/>
      <c r="R21" s="7"/>
      <c r="S21" s="7"/>
      <c r="T21" s="7"/>
      <c r="U21" s="7"/>
      <c r="V21" s="7"/>
      <c r="W21" s="7"/>
      <c r="X21" s="7"/>
      <c r="Y21" s="7"/>
    </row>
    <row r="22" spans="1:25" ht="15.75" customHeight="1">
      <c r="A22" s="7"/>
      <c r="B22" s="14" t="s">
        <v>248</v>
      </c>
      <c r="C22" s="55" t="s">
        <v>53</v>
      </c>
      <c r="D22" s="57">
        <f t="shared" ref="D22:M22" si="1">SUM(D18:D21)</f>
        <v>382855.73</v>
      </c>
      <c r="E22" s="57">
        <f t="shared" si="1"/>
        <v>365089.93700000003</v>
      </c>
      <c r="F22" s="57">
        <f t="shared" si="1"/>
        <v>355113.05300000001</v>
      </c>
      <c r="G22" s="57">
        <f t="shared" si="1"/>
        <v>359192.39799999999</v>
      </c>
      <c r="H22" s="57">
        <f t="shared" si="1"/>
        <v>347332.57300000003</v>
      </c>
      <c r="I22" s="94">
        <f t="shared" si="1"/>
        <v>319520.36178871104</v>
      </c>
      <c r="J22" s="57">
        <f t="shared" si="1"/>
        <v>302170.06787432585</v>
      </c>
      <c r="K22" s="57">
        <f t="shared" si="1"/>
        <v>292699.18197245873</v>
      </c>
      <c r="L22" s="57">
        <f t="shared" si="1"/>
        <v>293415.79525413143</v>
      </c>
      <c r="M22" s="57">
        <f t="shared" si="1"/>
        <v>296422.84104442556</v>
      </c>
      <c r="N22" s="7"/>
      <c r="O22" s="7"/>
      <c r="P22" s="7"/>
      <c r="Q22" s="7"/>
      <c r="R22" s="7"/>
      <c r="S22" s="7"/>
      <c r="T22" s="7"/>
      <c r="U22" s="7"/>
      <c r="V22" s="7"/>
      <c r="W22" s="7"/>
      <c r="X22" s="7"/>
      <c r="Y22" s="7"/>
    </row>
    <row r="23" spans="1:25" ht="15.75" customHeight="1">
      <c r="A23" s="7"/>
      <c r="B23" s="7"/>
      <c r="C23" s="30"/>
      <c r="D23" s="30"/>
      <c r="E23" s="30"/>
      <c r="F23" s="30"/>
      <c r="G23" s="30"/>
      <c r="H23" s="30"/>
      <c r="I23" s="122"/>
      <c r="J23" s="20"/>
      <c r="K23" s="20"/>
      <c r="L23" s="20"/>
      <c r="M23" s="20"/>
      <c r="N23" s="7"/>
      <c r="O23" s="7"/>
      <c r="P23" s="7"/>
      <c r="Q23" s="7"/>
      <c r="R23" s="7"/>
      <c r="S23" s="7"/>
      <c r="T23" s="7"/>
      <c r="U23" s="7"/>
      <c r="V23" s="7"/>
      <c r="W23" s="7"/>
      <c r="X23" s="7"/>
      <c r="Y23" s="7"/>
    </row>
    <row r="24" spans="1:25" ht="15.75" customHeight="1">
      <c r="A24" s="7"/>
      <c r="B24" s="14" t="s">
        <v>249</v>
      </c>
      <c r="C24" s="64" t="s">
        <v>53</v>
      </c>
      <c r="D24" s="57">
        <f t="shared" ref="D24:M24" si="2">SUM(D15,D22)</f>
        <v>525624.0199999999</v>
      </c>
      <c r="E24" s="57">
        <f t="shared" si="2"/>
        <v>541755.81200000003</v>
      </c>
      <c r="F24" s="57">
        <f t="shared" si="2"/>
        <v>494254.40700000001</v>
      </c>
      <c r="G24" s="57">
        <f t="shared" si="2"/>
        <v>470178.22099999996</v>
      </c>
      <c r="H24" s="57">
        <f t="shared" si="2"/>
        <v>516733.98800000001</v>
      </c>
      <c r="I24" s="94">
        <f t="shared" si="2"/>
        <v>468635.49957195786</v>
      </c>
      <c r="J24" s="57">
        <f t="shared" si="2"/>
        <v>453589.05296869454</v>
      </c>
      <c r="K24" s="57">
        <f t="shared" si="2"/>
        <v>446294.21151649376</v>
      </c>
      <c r="L24" s="57">
        <f t="shared" si="2"/>
        <v>449607.51234838885</v>
      </c>
      <c r="M24" s="57">
        <f t="shared" si="2"/>
        <v>455356.98173048394</v>
      </c>
      <c r="N24" s="7"/>
      <c r="O24" s="7"/>
      <c r="P24" s="7"/>
      <c r="Q24" s="7"/>
      <c r="R24" s="7"/>
      <c r="S24" s="7"/>
      <c r="T24" s="7"/>
      <c r="U24" s="7"/>
      <c r="V24" s="7"/>
      <c r="W24" s="7"/>
      <c r="X24" s="7"/>
      <c r="Y24" s="7"/>
    </row>
    <row r="25" spans="1:25" ht="15.75" customHeight="1">
      <c r="A25" s="7"/>
      <c r="B25" s="7"/>
      <c r="C25" s="30"/>
      <c r="D25" s="30"/>
      <c r="E25" s="30"/>
      <c r="F25" s="30"/>
      <c r="G25" s="30"/>
      <c r="H25" s="30"/>
      <c r="I25" s="122"/>
      <c r="J25" s="20"/>
      <c r="K25" s="20"/>
      <c r="L25" s="20"/>
      <c r="M25" s="20"/>
      <c r="N25" s="7"/>
      <c r="O25" s="7"/>
      <c r="P25" s="7"/>
      <c r="Q25" s="7"/>
      <c r="R25" s="7"/>
      <c r="S25" s="7"/>
      <c r="T25" s="7"/>
      <c r="U25" s="7"/>
      <c r="V25" s="7"/>
      <c r="W25" s="7"/>
      <c r="X25" s="7"/>
      <c r="Y25" s="7"/>
    </row>
    <row r="26" spans="1:25" ht="15.75" customHeight="1">
      <c r="A26" s="7"/>
      <c r="B26" s="64" t="s">
        <v>250</v>
      </c>
      <c r="C26" s="30"/>
      <c r="D26" s="30"/>
      <c r="E26" s="30"/>
      <c r="F26" s="30"/>
      <c r="G26" s="30"/>
      <c r="H26" s="30"/>
      <c r="I26" s="122"/>
      <c r="J26" s="20"/>
      <c r="K26" s="20"/>
      <c r="L26" s="20"/>
      <c r="M26" s="20"/>
      <c r="N26" s="7"/>
      <c r="O26" s="7"/>
      <c r="P26" s="7"/>
      <c r="Q26" s="7"/>
      <c r="R26" s="7"/>
      <c r="S26" s="7"/>
      <c r="T26" s="7"/>
      <c r="U26" s="7"/>
      <c r="V26" s="7"/>
      <c r="W26" s="7"/>
      <c r="X26" s="7"/>
      <c r="Y26" s="7"/>
    </row>
    <row r="27" spans="1:25" ht="15" customHeight="1">
      <c r="A27" s="7"/>
      <c r="B27" s="252" t="s">
        <v>251</v>
      </c>
      <c r="C27" s="29"/>
      <c r="D27" s="244"/>
      <c r="E27" s="244"/>
      <c r="F27" s="244"/>
      <c r="G27" s="244"/>
      <c r="H27" s="244"/>
      <c r="I27" s="94"/>
      <c r="J27" s="57"/>
      <c r="K27" s="57"/>
      <c r="L27" s="57"/>
      <c r="M27" s="57"/>
      <c r="N27" s="7"/>
      <c r="O27" s="7"/>
      <c r="P27" s="7"/>
      <c r="Q27" s="7"/>
      <c r="R27" s="7"/>
      <c r="S27" s="7"/>
      <c r="T27" s="7"/>
      <c r="U27" s="7"/>
      <c r="V27" s="7"/>
      <c r="W27" s="7"/>
      <c r="X27" s="7"/>
      <c r="Y27" s="7"/>
    </row>
    <row r="28" spans="1:25" ht="15" customHeight="1">
      <c r="A28" s="7"/>
      <c r="B28" s="16" t="s">
        <v>252</v>
      </c>
      <c r="C28" s="29" t="s">
        <v>53</v>
      </c>
      <c r="D28" s="20">
        <v>18252.348000000002</v>
      </c>
      <c r="E28" s="20">
        <v>18638.062000000002</v>
      </c>
      <c r="F28" s="20">
        <v>13620.018</v>
      </c>
      <c r="G28" s="20">
        <v>18588.402999999998</v>
      </c>
      <c r="H28" s="20">
        <v>20692.763999999999</v>
      </c>
      <c r="I28" s="192">
        <f>'Income Statement'!I28*'Balance Assumptions'!I14</f>
        <v>21043.49659661391</v>
      </c>
      <c r="J28" s="103">
        <f>'Income Statement'!J28*'Balance Assumptions'!J14</f>
        <v>20270.945670210363</v>
      </c>
      <c r="K28" s="103">
        <f>'Income Statement'!K28*'Balance Assumptions'!K14</f>
        <v>19502.537691924121</v>
      </c>
      <c r="L28" s="103">
        <f>'Income Statement'!L28*'Balance Assumptions'!L14</f>
        <v>18757.714336620691</v>
      </c>
      <c r="M28" s="103">
        <f>'Income Statement'!M28*'Balance Assumptions'!M14</f>
        <v>18593.725295929602</v>
      </c>
      <c r="N28" s="7"/>
      <c r="O28" s="7"/>
      <c r="P28" s="7"/>
      <c r="Q28" s="7"/>
      <c r="R28" s="7"/>
      <c r="S28" s="7"/>
      <c r="T28" s="7"/>
      <c r="U28" s="7"/>
      <c r="V28" s="7"/>
      <c r="W28" s="7"/>
      <c r="X28" s="7"/>
      <c r="Y28" s="7"/>
    </row>
    <row r="29" spans="1:25" ht="15" customHeight="1">
      <c r="A29" s="7"/>
      <c r="B29" s="16" t="s">
        <v>146</v>
      </c>
      <c r="C29" s="29" t="s">
        <v>53</v>
      </c>
      <c r="D29" s="20">
        <f>32339.299+4998.72+3450.962</f>
        <v>40788.981</v>
      </c>
      <c r="E29" s="20">
        <f>20364.989+3850.128+3172.201</f>
        <v>27387.318000000003</v>
      </c>
      <c r="F29" s="20">
        <f>24059.397+4584.447+2665.778</f>
        <v>31309.621999999999</v>
      </c>
      <c r="G29" s="20">
        <f>18544.819+4103.764+3353.957</f>
        <v>26002.539999999997</v>
      </c>
      <c r="H29" s="20">
        <f>20374.526+3197.841+2754.069</f>
        <v>26326.436000000002</v>
      </c>
      <c r="I29" s="192">
        <f>'Income Statement'!I28*'Balance Assumptions'!I15</f>
        <v>25826.109459480707</v>
      </c>
      <c r="J29" s="103">
        <f>'Income Statement'!J28*'Balance Assumptions'!J15</f>
        <v>23956.572155703157</v>
      </c>
      <c r="K29" s="103">
        <f>'Income Statement'!K28*'Balance Assumptions'!K15</f>
        <v>23934.932621906875</v>
      </c>
      <c r="L29" s="103">
        <f>'Income Statement'!L28*'Balance Assumptions'!L15</f>
        <v>23020.831231307213</v>
      </c>
      <c r="M29" s="103">
        <f>'Income Statement'!M28*'Balance Assumptions'!M15</f>
        <v>22819.57195409542</v>
      </c>
      <c r="N29" s="7"/>
      <c r="O29" s="7"/>
      <c r="P29" s="7"/>
      <c r="Q29" s="7"/>
      <c r="R29" s="7"/>
      <c r="S29" s="7"/>
      <c r="T29" s="7"/>
      <c r="U29" s="7"/>
      <c r="V29" s="7"/>
      <c r="W29" s="7"/>
      <c r="X29" s="7"/>
      <c r="Y29" s="7"/>
    </row>
    <row r="30" spans="1:25" ht="15" customHeight="1">
      <c r="A30" s="7"/>
      <c r="B30" s="16" t="s">
        <v>147</v>
      </c>
      <c r="C30" s="29" t="s">
        <v>53</v>
      </c>
      <c r="D30" s="20">
        <v>6129.8950000000004</v>
      </c>
      <c r="E30" s="20">
        <v>4277.18</v>
      </c>
      <c r="F30" s="20">
        <v>4694.8190000000004</v>
      </c>
      <c r="G30" s="20">
        <v>5054.7870000000003</v>
      </c>
      <c r="H30" s="20">
        <v>9670.1560000000009</v>
      </c>
      <c r="I30" s="192">
        <f>'Balance Assumptions'!I16*'Income Assumptions'!K5</f>
        <v>9907.9269630461276</v>
      </c>
      <c r="J30" s="103">
        <f>'Balance Assumptions'!J16*'Income Assumptions'!L5</f>
        <v>10162.600953004088</v>
      </c>
      <c r="K30" s="103">
        <f>'Balance Assumptions'!K16*'Income Assumptions'!M5</f>
        <v>10433.153224566659</v>
      </c>
      <c r="L30" s="103">
        <f>'Balance Assumptions'!L16*'Income Assumptions'!N5</f>
        <v>10692.433059835988</v>
      </c>
      <c r="M30" s="103">
        <f>'Balance Assumptions'!M16*'Income Assumptions'!O5</f>
        <v>10966.264671598437</v>
      </c>
      <c r="N30" s="7"/>
      <c r="O30" s="7"/>
      <c r="P30" s="7"/>
      <c r="Q30" s="7"/>
      <c r="R30" s="7"/>
      <c r="S30" s="7"/>
      <c r="T30" s="7"/>
      <c r="U30" s="7"/>
      <c r="V30" s="7"/>
      <c r="W30" s="7"/>
      <c r="X30" s="7"/>
      <c r="Y30" s="7"/>
    </row>
    <row r="31" spans="1:25" ht="15" customHeight="1">
      <c r="A31" s="7"/>
      <c r="B31" s="16" t="s">
        <v>253</v>
      </c>
      <c r="C31" s="29" t="s">
        <v>53</v>
      </c>
      <c r="D31" s="20">
        <v>3574.5140000000001</v>
      </c>
      <c r="E31" s="20">
        <v>3089.2220000000002</v>
      </c>
      <c r="F31" s="20">
        <v>3392.819</v>
      </c>
      <c r="G31" s="20">
        <v>2675.6689999999999</v>
      </c>
      <c r="H31" s="20">
        <v>1992.654</v>
      </c>
      <c r="I31" s="192">
        <f>'Debt Schedule'!I51</f>
        <v>1993</v>
      </c>
      <c r="J31" s="103">
        <f>'Debt Schedule'!J51</f>
        <v>1993</v>
      </c>
      <c r="K31" s="103">
        <f>'Debt Schedule'!K51</f>
        <v>1993</v>
      </c>
      <c r="L31" s="103">
        <f>'Debt Schedule'!L51</f>
        <v>1993</v>
      </c>
      <c r="M31" s="103">
        <f>'Debt Schedule'!M51</f>
        <v>1993</v>
      </c>
      <c r="N31" s="7"/>
      <c r="O31" s="7"/>
      <c r="P31" s="7"/>
      <c r="Q31" s="7"/>
      <c r="R31" s="7"/>
      <c r="S31" s="7"/>
      <c r="T31" s="7"/>
      <c r="U31" s="7"/>
      <c r="V31" s="7"/>
      <c r="W31" s="7"/>
      <c r="X31" s="7"/>
      <c r="Y31" s="7"/>
    </row>
    <row r="32" spans="1:25" ht="15" customHeight="1">
      <c r="A32" s="7"/>
      <c r="B32" s="16" t="s">
        <v>254</v>
      </c>
      <c r="C32" s="29" t="s">
        <v>53</v>
      </c>
      <c r="D32" s="20">
        <v>0</v>
      </c>
      <c r="E32" s="20">
        <v>4162</v>
      </c>
      <c r="F32" s="20">
        <v>4162</v>
      </c>
      <c r="G32" s="20">
        <v>9060.75</v>
      </c>
      <c r="H32" s="20">
        <v>29060.75</v>
      </c>
      <c r="I32" s="192">
        <f>'Debt Schedule'!I14</f>
        <v>5727.416666666667</v>
      </c>
      <c r="J32" s="103">
        <f>'Debt Schedule'!J14</f>
        <v>1565.4166666666667</v>
      </c>
      <c r="K32" s="103">
        <f>'Debt Schedule'!K14</f>
        <v>1565.4166666666667</v>
      </c>
      <c r="L32" s="103">
        <f>'Debt Schedule'!L14</f>
        <v>1565.4166666666667</v>
      </c>
      <c r="M32" s="103">
        <f>'Debt Schedule'!M14</f>
        <v>1565.4166666666667</v>
      </c>
      <c r="N32" s="7"/>
      <c r="O32" s="7"/>
      <c r="P32" s="7"/>
      <c r="Q32" s="7"/>
      <c r="R32" s="7"/>
      <c r="S32" s="7"/>
      <c r="T32" s="7"/>
      <c r="U32" s="7"/>
      <c r="V32" s="7"/>
      <c r="W32" s="7"/>
      <c r="X32" s="7"/>
      <c r="Y32" s="7"/>
    </row>
    <row r="33" spans="1:25" ht="15" customHeight="1">
      <c r="A33" s="7"/>
      <c r="B33" s="16" t="s">
        <v>255</v>
      </c>
      <c r="C33" s="29" t="s">
        <v>53</v>
      </c>
      <c r="D33" s="20">
        <v>2520</v>
      </c>
      <c r="E33" s="20">
        <v>0</v>
      </c>
      <c r="F33" s="20">
        <v>0</v>
      </c>
      <c r="G33" s="20">
        <v>0</v>
      </c>
      <c r="H33" s="20">
        <v>0</v>
      </c>
      <c r="I33" s="192">
        <v>0</v>
      </c>
      <c r="J33" s="103">
        <v>0</v>
      </c>
      <c r="K33" s="103">
        <v>0</v>
      </c>
      <c r="L33" s="103">
        <v>0</v>
      </c>
      <c r="M33" s="103">
        <v>0</v>
      </c>
      <c r="N33" s="7"/>
      <c r="O33" s="7"/>
      <c r="P33" s="7"/>
      <c r="Q33" s="7"/>
      <c r="R33" s="7"/>
      <c r="S33" s="7"/>
      <c r="T33" s="7"/>
      <c r="U33" s="7"/>
      <c r="V33" s="7"/>
      <c r="W33" s="7"/>
      <c r="X33" s="7"/>
      <c r="Y33" s="7"/>
    </row>
    <row r="34" spans="1:25" ht="15" customHeight="1">
      <c r="A34" s="7"/>
      <c r="B34" s="245" t="s">
        <v>256</v>
      </c>
      <c r="C34" s="217" t="s">
        <v>53</v>
      </c>
      <c r="D34" s="158">
        <v>9271.6110000000008</v>
      </c>
      <c r="E34" s="158">
        <v>9463.9599999999991</v>
      </c>
      <c r="F34" s="158">
        <v>14935.89</v>
      </c>
      <c r="G34" s="158">
        <v>14748.713</v>
      </c>
      <c r="H34" s="158">
        <v>1604.384</v>
      </c>
      <c r="I34" s="246">
        <f>'Debt Schedule'!I32</f>
        <v>0</v>
      </c>
      <c r="J34" s="247">
        <f>'Debt Schedule'!J32</f>
        <v>0</v>
      </c>
      <c r="K34" s="247">
        <f>'Debt Schedule'!K32</f>
        <v>0</v>
      </c>
      <c r="L34" s="247">
        <f>'Debt Schedule'!L32</f>
        <v>0</v>
      </c>
      <c r="M34" s="247">
        <f>'Debt Schedule'!M32</f>
        <v>24000</v>
      </c>
      <c r="N34" s="7"/>
      <c r="O34" s="7"/>
      <c r="P34" s="7"/>
      <c r="Q34" s="7"/>
      <c r="R34" s="7"/>
      <c r="S34" s="7"/>
      <c r="T34" s="7"/>
      <c r="U34" s="7"/>
      <c r="V34" s="7"/>
      <c r="W34" s="7"/>
      <c r="X34" s="7"/>
      <c r="Y34" s="7"/>
    </row>
    <row r="35" spans="1:25" ht="15.75" customHeight="1">
      <c r="A35" s="7"/>
      <c r="B35" s="252" t="s">
        <v>257</v>
      </c>
      <c r="C35" s="55" t="s">
        <v>53</v>
      </c>
      <c r="D35" s="57">
        <f t="shared" ref="D35:M35" si="3">SUM(D28:D34)</f>
        <v>80537.349000000002</v>
      </c>
      <c r="E35" s="57">
        <f t="shared" si="3"/>
        <v>67017.741999999998</v>
      </c>
      <c r="F35" s="57">
        <f t="shared" si="3"/>
        <v>72115.168000000005</v>
      </c>
      <c r="G35" s="57">
        <f t="shared" si="3"/>
        <v>76130.861999999994</v>
      </c>
      <c r="H35" s="57">
        <f t="shared" si="3"/>
        <v>89347.144000000015</v>
      </c>
      <c r="I35" s="94">
        <f t="shared" si="3"/>
        <v>64497.949685807413</v>
      </c>
      <c r="J35" s="57">
        <f t="shared" si="3"/>
        <v>57948.535445584275</v>
      </c>
      <c r="K35" s="57">
        <f t="shared" si="3"/>
        <v>57429.040205064324</v>
      </c>
      <c r="L35" s="57">
        <f t="shared" si="3"/>
        <v>56029.395294430557</v>
      </c>
      <c r="M35" s="57">
        <f t="shared" si="3"/>
        <v>79937.97858829012</v>
      </c>
      <c r="N35" s="7"/>
      <c r="O35" s="7"/>
      <c r="P35" s="7"/>
      <c r="Q35" s="7"/>
      <c r="R35" s="7"/>
      <c r="S35" s="7"/>
      <c r="T35" s="7"/>
      <c r="U35" s="7"/>
      <c r="V35" s="7"/>
      <c r="W35" s="7"/>
      <c r="X35" s="7"/>
      <c r="Y35" s="7"/>
    </row>
    <row r="36" spans="1:25" ht="15.75" customHeight="1">
      <c r="A36" s="7"/>
      <c r="B36" s="7"/>
      <c r="C36" s="30"/>
      <c r="D36" s="30"/>
      <c r="E36" s="30"/>
      <c r="F36" s="30"/>
      <c r="G36" s="30"/>
      <c r="H36" s="30"/>
      <c r="I36" s="122"/>
      <c r="J36" s="20"/>
      <c r="K36" s="20"/>
      <c r="L36" s="20"/>
      <c r="M36" s="20"/>
      <c r="N36" s="7"/>
      <c r="O36" s="7"/>
      <c r="P36" s="7"/>
      <c r="Q36" s="7"/>
      <c r="R36" s="7"/>
      <c r="S36" s="7"/>
      <c r="T36" s="7"/>
      <c r="U36" s="7"/>
      <c r="V36" s="7"/>
      <c r="W36" s="7"/>
      <c r="X36" s="7"/>
      <c r="Y36" s="7"/>
    </row>
    <row r="37" spans="1:25" ht="15" customHeight="1">
      <c r="A37" s="7"/>
      <c r="B37" s="14" t="s">
        <v>727</v>
      </c>
      <c r="C37" s="29"/>
      <c r="D37" s="244"/>
      <c r="E37" s="244"/>
      <c r="F37" s="244"/>
      <c r="G37" s="244"/>
      <c r="H37" s="244"/>
      <c r="I37" s="94"/>
      <c r="J37" s="57"/>
      <c r="K37" s="57"/>
      <c r="L37" s="57"/>
      <c r="M37" s="57"/>
      <c r="N37" s="7"/>
      <c r="O37" s="7"/>
      <c r="P37" s="7"/>
      <c r="Q37" s="7"/>
      <c r="R37" s="7"/>
      <c r="S37" s="7"/>
      <c r="T37" s="7"/>
      <c r="U37" s="7"/>
      <c r="V37" s="7"/>
      <c r="W37" s="7"/>
      <c r="X37" s="7"/>
      <c r="Y37" s="7"/>
    </row>
    <row r="38" spans="1:25" ht="15" customHeight="1">
      <c r="A38" s="7"/>
      <c r="B38" s="16" t="s">
        <v>148</v>
      </c>
      <c r="C38" s="29" t="s">
        <v>53</v>
      </c>
      <c r="D38" s="20">
        <v>8851.1299999999992</v>
      </c>
      <c r="E38" s="20">
        <v>8592.6679999999997</v>
      </c>
      <c r="F38" s="20">
        <v>8270.6939999999995</v>
      </c>
      <c r="G38" s="20">
        <v>8154.2520000000004</v>
      </c>
      <c r="H38" s="20">
        <v>8577.5849999999991</v>
      </c>
      <c r="I38" s="192">
        <v>8500</v>
      </c>
      <c r="J38" s="103">
        <v>8500</v>
      </c>
      <c r="K38" s="103">
        <v>8500</v>
      </c>
      <c r="L38" s="103">
        <v>8500</v>
      </c>
      <c r="M38" s="103">
        <v>8500</v>
      </c>
      <c r="N38" s="7"/>
      <c r="O38" s="7"/>
      <c r="P38" s="7"/>
      <c r="Q38" s="7"/>
      <c r="R38" s="7"/>
      <c r="S38" s="7"/>
      <c r="T38" s="7"/>
      <c r="U38" s="7"/>
      <c r="V38" s="7"/>
      <c r="W38" s="7"/>
      <c r="X38" s="7"/>
      <c r="Y38" s="7"/>
    </row>
    <row r="39" spans="1:25" ht="15" customHeight="1">
      <c r="A39" s="7"/>
      <c r="B39" s="16" t="s">
        <v>258</v>
      </c>
      <c r="C39" s="29" t="s">
        <v>53</v>
      </c>
      <c r="D39" s="20">
        <v>0</v>
      </c>
      <c r="E39" s="20">
        <v>831.58900000000006</v>
      </c>
      <c r="F39" s="20">
        <v>1013.7140000000001</v>
      </c>
      <c r="G39" s="20">
        <v>1209.7860000000001</v>
      </c>
      <c r="H39" s="20">
        <v>778.60799999999995</v>
      </c>
      <c r="I39" s="192">
        <v>779</v>
      </c>
      <c r="J39" s="103">
        <v>779</v>
      </c>
      <c r="K39" s="103">
        <v>779</v>
      </c>
      <c r="L39" s="103">
        <v>779</v>
      </c>
      <c r="M39" s="103">
        <v>779</v>
      </c>
      <c r="N39" s="7"/>
      <c r="O39" s="7"/>
      <c r="P39" s="7"/>
      <c r="Q39" s="7"/>
      <c r="R39" s="7"/>
      <c r="S39" s="7"/>
      <c r="T39" s="7"/>
      <c r="U39" s="7"/>
      <c r="V39" s="7"/>
      <c r="W39" s="7"/>
      <c r="X39" s="7"/>
      <c r="Y39" s="7"/>
    </row>
    <row r="40" spans="1:25" ht="15" customHeight="1">
      <c r="A40" s="7"/>
      <c r="B40" s="16" t="s">
        <v>259</v>
      </c>
      <c r="C40" s="29" t="s">
        <v>53</v>
      </c>
      <c r="D40" s="20">
        <v>54745.983</v>
      </c>
      <c r="E40" s="20">
        <v>53277.177000000003</v>
      </c>
      <c r="F40" s="20">
        <v>53734.597999999998</v>
      </c>
      <c r="G40" s="20">
        <v>52217.123</v>
      </c>
      <c r="H40" s="20">
        <v>52828.000999999997</v>
      </c>
      <c r="I40" s="192">
        <f>'Debt Schedule'!I52</f>
        <v>51344.595399999998</v>
      </c>
      <c r="J40" s="103">
        <f>'Debt Schedule'!J52</f>
        <v>49831.874607999998</v>
      </c>
      <c r="K40" s="103">
        <f>'Debt Schedule'!K52</f>
        <v>48288.89940016</v>
      </c>
      <c r="L40" s="103">
        <f>'Debt Schedule'!L52</f>
        <v>46715.064688163198</v>
      </c>
      <c r="M40" s="103">
        <f>'Debt Schedule'!M52</f>
        <v>45109.75328192646</v>
      </c>
      <c r="N40" s="7"/>
      <c r="O40" s="7"/>
      <c r="P40" s="7"/>
      <c r="Q40" s="7"/>
      <c r="R40" s="7"/>
      <c r="S40" s="7"/>
      <c r="T40" s="7"/>
      <c r="U40" s="7"/>
      <c r="V40" s="7"/>
      <c r="W40" s="7"/>
      <c r="X40" s="7"/>
      <c r="Y40" s="7"/>
    </row>
    <row r="41" spans="1:25" ht="15" customHeight="1">
      <c r="A41" s="7"/>
      <c r="B41" s="16" t="s">
        <v>260</v>
      </c>
      <c r="C41" s="29" t="s">
        <v>53</v>
      </c>
      <c r="D41" s="20">
        <v>58620.303999999996</v>
      </c>
      <c r="E41" s="20">
        <v>54623.211000000003</v>
      </c>
      <c r="F41" s="20">
        <v>50823.68</v>
      </c>
      <c r="G41" s="20">
        <v>41973.593000000001</v>
      </c>
      <c r="H41" s="20">
        <v>13256.812</v>
      </c>
      <c r="I41" s="192">
        <f>'Debt Schedule'!I15</f>
        <v>7529.3953333333329</v>
      </c>
      <c r="J41" s="103">
        <f>'Debt Schedule'!J15</f>
        <v>5963.978666666666</v>
      </c>
      <c r="K41" s="103">
        <f>'Debt Schedule'!K15</f>
        <v>4398.561999999999</v>
      </c>
      <c r="L41" s="103">
        <f>'Debt Schedule'!L15</f>
        <v>2833.145333333332</v>
      </c>
      <c r="M41" s="103">
        <f>'Debt Schedule'!M15</f>
        <v>1267.7286666666653</v>
      </c>
      <c r="N41" s="7"/>
      <c r="O41" s="7"/>
      <c r="P41" s="7"/>
      <c r="Q41" s="7"/>
      <c r="R41" s="7"/>
      <c r="S41" s="7"/>
      <c r="T41" s="7"/>
      <c r="U41" s="7"/>
      <c r="V41" s="7"/>
      <c r="W41" s="7"/>
      <c r="X41" s="7"/>
      <c r="Y41" s="7"/>
    </row>
    <row r="42" spans="1:25" ht="15.75" customHeight="1">
      <c r="A42" s="7"/>
      <c r="B42" s="16" t="s">
        <v>261</v>
      </c>
      <c r="C42" s="29" t="s">
        <v>53</v>
      </c>
      <c r="D42" s="20">
        <v>11997.843999999999</v>
      </c>
      <c r="E42" s="20">
        <v>12517.989</v>
      </c>
      <c r="F42" s="20">
        <v>13168.388999999999</v>
      </c>
      <c r="G42" s="20">
        <v>0</v>
      </c>
      <c r="H42" s="20">
        <v>0</v>
      </c>
      <c r="I42" s="192">
        <v>0</v>
      </c>
      <c r="J42" s="103">
        <v>0</v>
      </c>
      <c r="K42" s="103">
        <v>0</v>
      </c>
      <c r="L42" s="103">
        <v>0</v>
      </c>
      <c r="M42" s="103">
        <v>0</v>
      </c>
      <c r="N42" s="7"/>
      <c r="O42" s="7"/>
      <c r="P42" s="7"/>
      <c r="Q42" s="7"/>
      <c r="R42" s="7"/>
      <c r="S42" s="7"/>
      <c r="T42" s="7"/>
      <c r="U42" s="7"/>
      <c r="V42" s="7"/>
      <c r="W42" s="7"/>
      <c r="X42" s="7"/>
      <c r="Y42" s="7"/>
    </row>
    <row r="43" spans="1:25" ht="15.75" customHeight="1">
      <c r="A43" s="7"/>
      <c r="B43" s="245" t="s">
        <v>262</v>
      </c>
      <c r="C43" s="217" t="s">
        <v>53</v>
      </c>
      <c r="D43" s="158">
        <v>264043.04700000002</v>
      </c>
      <c r="E43" s="158">
        <v>308439.65000000002</v>
      </c>
      <c r="F43" s="158">
        <v>270189.56699999998</v>
      </c>
      <c r="G43" s="158">
        <v>256562.628</v>
      </c>
      <c r="H43" s="158">
        <v>332984.516</v>
      </c>
      <c r="I43" s="246">
        <f>'Debt Schedule'!I33</f>
        <v>325210.70105661266</v>
      </c>
      <c r="J43" s="247">
        <f>'Debt Schedule'!J33</f>
        <v>313866.37252838857</v>
      </c>
      <c r="K43" s="247">
        <f>'Debt Schedule'!K33</f>
        <v>290726.32598661917</v>
      </c>
      <c r="L43" s="247">
        <f>'Debt Schedule'!L33</f>
        <v>266221.31475592119</v>
      </c>
      <c r="M43" s="247">
        <f>'Debt Schedule'!M33</f>
        <v>210944.93662147393</v>
      </c>
      <c r="N43" s="7"/>
      <c r="O43" s="7"/>
      <c r="P43" s="7"/>
      <c r="Q43" s="7"/>
      <c r="R43" s="7"/>
      <c r="S43" s="7"/>
      <c r="T43" s="7"/>
      <c r="U43" s="7"/>
      <c r="V43" s="7"/>
      <c r="W43" s="7"/>
      <c r="X43" s="7"/>
      <c r="Y43" s="7"/>
    </row>
    <row r="44" spans="1:25" ht="15.75" customHeight="1">
      <c r="A44" s="7"/>
      <c r="B44" s="252" t="s">
        <v>263</v>
      </c>
      <c r="C44" s="55" t="s">
        <v>53</v>
      </c>
      <c r="D44" s="57">
        <f t="shared" ref="D44:M44" si="4">SUM(D38:D43)</f>
        <v>398258.30800000002</v>
      </c>
      <c r="E44" s="57">
        <f t="shared" si="4"/>
        <v>438282.28400000004</v>
      </c>
      <c r="F44" s="57">
        <f t="shared" si="4"/>
        <v>397200.64199999999</v>
      </c>
      <c r="G44" s="57">
        <f t="shared" si="4"/>
        <v>360117.38199999998</v>
      </c>
      <c r="H44" s="57">
        <f t="shared" si="4"/>
        <v>408425.522</v>
      </c>
      <c r="I44" s="94">
        <f t="shared" si="4"/>
        <v>393363.69178994599</v>
      </c>
      <c r="J44" s="57">
        <f t="shared" si="4"/>
        <v>378941.22580305522</v>
      </c>
      <c r="K44" s="57">
        <f t="shared" si="4"/>
        <v>352692.78738677915</v>
      </c>
      <c r="L44" s="57">
        <f t="shared" si="4"/>
        <v>325048.52477741771</v>
      </c>
      <c r="M44" s="57">
        <f t="shared" si="4"/>
        <v>266601.41857006704</v>
      </c>
      <c r="N44" s="7"/>
      <c r="O44" s="7"/>
      <c r="P44" s="7"/>
      <c r="Q44" s="7"/>
      <c r="R44" s="7"/>
      <c r="S44" s="7"/>
      <c r="T44" s="7"/>
      <c r="U44" s="7"/>
      <c r="V44" s="7"/>
      <c r="W44" s="7"/>
      <c r="X44" s="7"/>
      <c r="Y44" s="7"/>
    </row>
    <row r="45" spans="1:25" ht="15.75" customHeight="1">
      <c r="A45" s="7"/>
      <c r="B45" s="7"/>
      <c r="C45" s="30"/>
      <c r="D45" s="30"/>
      <c r="E45" s="30"/>
      <c r="F45" s="30"/>
      <c r="G45" s="30"/>
      <c r="H45" s="30"/>
      <c r="I45" s="122"/>
      <c r="J45" s="20"/>
      <c r="K45" s="20"/>
      <c r="L45" s="20"/>
      <c r="M45" s="20"/>
      <c r="N45" s="7"/>
      <c r="O45" s="7"/>
      <c r="P45" s="7"/>
      <c r="Q45" s="7"/>
      <c r="R45" s="7"/>
      <c r="S45" s="7"/>
      <c r="T45" s="7"/>
      <c r="U45" s="7"/>
      <c r="V45" s="7"/>
      <c r="W45" s="7"/>
      <c r="X45" s="7"/>
      <c r="Y45" s="7"/>
    </row>
    <row r="46" spans="1:25" ht="15.75" customHeight="1">
      <c r="A46" s="7"/>
      <c r="B46" s="14" t="s">
        <v>264</v>
      </c>
      <c r="C46" s="64" t="s">
        <v>53</v>
      </c>
      <c r="D46" s="57">
        <f t="shared" ref="D46:M46" si="5">SUM(D35,D44)</f>
        <v>478795.65700000001</v>
      </c>
      <c r="E46" s="57">
        <f t="shared" si="5"/>
        <v>505300.02600000007</v>
      </c>
      <c r="F46" s="57">
        <f t="shared" si="5"/>
        <v>469315.81</v>
      </c>
      <c r="G46" s="57">
        <f t="shared" si="5"/>
        <v>436248.24399999995</v>
      </c>
      <c r="H46" s="57">
        <f t="shared" si="5"/>
        <v>497772.66600000003</v>
      </c>
      <c r="I46" s="94">
        <f t="shared" si="5"/>
        <v>457861.64147575339</v>
      </c>
      <c r="J46" s="57">
        <f t="shared" si="5"/>
        <v>436889.76124863949</v>
      </c>
      <c r="K46" s="57">
        <f t="shared" si="5"/>
        <v>410121.8275918435</v>
      </c>
      <c r="L46" s="57">
        <f t="shared" si="5"/>
        <v>381077.92007184826</v>
      </c>
      <c r="M46" s="57">
        <f t="shared" si="5"/>
        <v>346539.39715835714</v>
      </c>
      <c r="N46" s="7"/>
      <c r="O46" s="7"/>
      <c r="P46" s="7"/>
      <c r="Q46" s="7"/>
      <c r="R46" s="7"/>
      <c r="S46" s="7"/>
      <c r="T46" s="7"/>
      <c r="U46" s="7"/>
      <c r="V46" s="7"/>
      <c r="W46" s="7"/>
      <c r="X46" s="7"/>
      <c r="Y46" s="7"/>
    </row>
    <row r="47" spans="1:25" ht="15.75" customHeight="1">
      <c r="A47" s="7"/>
      <c r="B47" s="7"/>
      <c r="C47" s="30"/>
      <c r="D47" s="30"/>
      <c r="E47" s="30"/>
      <c r="F47" s="30"/>
      <c r="G47" s="30"/>
      <c r="H47" s="30"/>
      <c r="I47" s="122"/>
      <c r="J47" s="20"/>
      <c r="K47" s="20"/>
      <c r="L47" s="20"/>
      <c r="M47" s="20"/>
      <c r="N47" s="7"/>
      <c r="O47" s="7"/>
      <c r="P47" s="7"/>
      <c r="Q47" s="7"/>
      <c r="R47" s="7"/>
      <c r="S47" s="7"/>
      <c r="T47" s="7"/>
      <c r="U47" s="7"/>
      <c r="V47" s="7"/>
      <c r="W47" s="7"/>
      <c r="X47" s="7"/>
      <c r="Y47" s="7"/>
    </row>
    <row r="48" spans="1:25" ht="15.75" customHeight="1">
      <c r="A48" s="7"/>
      <c r="B48" s="14" t="s">
        <v>265</v>
      </c>
      <c r="C48" s="29"/>
      <c r="D48" s="64"/>
      <c r="E48" s="64"/>
      <c r="F48" s="64"/>
      <c r="G48" s="64"/>
      <c r="H48" s="64"/>
      <c r="I48" s="94"/>
      <c r="J48" s="57"/>
      <c r="K48" s="57"/>
      <c r="L48" s="57"/>
      <c r="M48" s="57"/>
      <c r="N48" s="7"/>
      <c r="O48" s="7"/>
      <c r="P48" s="7"/>
      <c r="Q48" s="7"/>
      <c r="R48" s="7"/>
      <c r="S48" s="7"/>
      <c r="T48" s="7"/>
      <c r="U48" s="7"/>
      <c r="V48" s="7"/>
      <c r="W48" s="7"/>
      <c r="X48" s="7"/>
      <c r="Y48" s="7"/>
    </row>
    <row r="49" spans="1:25" ht="15.75" customHeight="1">
      <c r="A49" s="7"/>
      <c r="B49" s="16" t="s">
        <v>266</v>
      </c>
      <c r="C49" s="29" t="s">
        <v>53</v>
      </c>
      <c r="D49" s="20">
        <v>30367.307000000001</v>
      </c>
      <c r="E49" s="20">
        <v>30367.307000000001</v>
      </c>
      <c r="F49" s="20">
        <v>30367.307000000001</v>
      </c>
      <c r="G49" s="20">
        <v>30367.307000000001</v>
      </c>
      <c r="H49" s="20">
        <v>30367.307000000001</v>
      </c>
      <c r="I49" s="192">
        <v>30367</v>
      </c>
      <c r="J49" s="103">
        <v>30367.307000000001</v>
      </c>
      <c r="K49" s="103">
        <v>30367.307000000001</v>
      </c>
      <c r="L49" s="103">
        <v>30367.307000000001</v>
      </c>
      <c r="M49" s="103">
        <v>30367.307000000001</v>
      </c>
      <c r="N49" s="7"/>
      <c r="O49" s="7"/>
      <c r="P49" s="7"/>
      <c r="Q49" s="7"/>
      <c r="R49" s="7"/>
      <c r="S49" s="7"/>
      <c r="T49" s="7"/>
      <c r="U49" s="7"/>
      <c r="V49" s="7"/>
      <c r="W49" s="7"/>
      <c r="X49" s="7"/>
      <c r="Y49" s="7"/>
    </row>
    <row r="50" spans="1:25" ht="15.75" customHeight="1">
      <c r="A50" s="7"/>
      <c r="B50" s="16" t="s">
        <v>267</v>
      </c>
      <c r="C50" s="29" t="s">
        <v>53</v>
      </c>
      <c r="D50" s="20">
        <v>0</v>
      </c>
      <c r="E50" s="20">
        <v>0</v>
      </c>
      <c r="F50" s="20">
        <v>0</v>
      </c>
      <c r="G50" s="20">
        <v>-2413.835</v>
      </c>
      <c r="H50" s="20">
        <v>-3234.0160000000001</v>
      </c>
      <c r="I50" s="192">
        <v>-3234</v>
      </c>
      <c r="J50" s="103">
        <v>-3234</v>
      </c>
      <c r="K50" s="103">
        <v>-3234</v>
      </c>
      <c r="L50" s="103">
        <v>-3234</v>
      </c>
      <c r="M50" s="103">
        <v>-3234</v>
      </c>
      <c r="N50" s="7"/>
      <c r="O50" s="7"/>
      <c r="P50" s="7"/>
      <c r="Q50" s="7"/>
      <c r="R50" s="7"/>
      <c r="S50" s="7"/>
      <c r="T50" s="7"/>
      <c r="U50" s="7"/>
      <c r="V50" s="7"/>
      <c r="W50" s="7"/>
      <c r="X50" s="7"/>
      <c r="Y50" s="7"/>
    </row>
    <row r="51" spans="1:25" ht="15.75" customHeight="1">
      <c r="A51" s="7"/>
      <c r="B51" s="16" t="s">
        <v>268</v>
      </c>
      <c r="C51" s="29" t="s">
        <v>53</v>
      </c>
      <c r="D51" s="20">
        <v>0</v>
      </c>
      <c r="E51" s="20">
        <v>0</v>
      </c>
      <c r="F51" s="20">
        <v>0</v>
      </c>
      <c r="G51" s="20">
        <v>4365.7240000000002</v>
      </c>
      <c r="H51" s="20">
        <v>3877.5309999999999</v>
      </c>
      <c r="I51" s="192">
        <v>3878</v>
      </c>
      <c r="J51" s="103">
        <v>3878</v>
      </c>
      <c r="K51" s="103">
        <v>3878</v>
      </c>
      <c r="L51" s="103">
        <v>3878</v>
      </c>
      <c r="M51" s="103">
        <v>3878</v>
      </c>
      <c r="N51" s="7"/>
      <c r="O51" s="7"/>
      <c r="P51" s="7"/>
      <c r="Q51" s="7"/>
      <c r="R51" s="7"/>
      <c r="S51" s="7"/>
      <c r="T51" s="7"/>
      <c r="U51" s="7"/>
      <c r="V51" s="7"/>
      <c r="W51" s="7"/>
      <c r="X51" s="7"/>
      <c r="Y51" s="7"/>
    </row>
    <row r="52" spans="1:25" ht="15.75" customHeight="1">
      <c r="A52" s="7"/>
      <c r="B52" s="16" t="s">
        <v>269</v>
      </c>
      <c r="C52" s="29" t="s">
        <v>53</v>
      </c>
      <c r="D52" s="20">
        <v>-70403.538</v>
      </c>
      <c r="E52" s="20">
        <v>-86765.130999999994</v>
      </c>
      <c r="F52" s="20">
        <v>-98399.273000000001</v>
      </c>
      <c r="G52" s="20">
        <v>-74310.899000000005</v>
      </c>
      <c r="H52" s="20">
        <v>-76603.203999999998</v>
      </c>
      <c r="I52" s="192">
        <f>H52+'Income Statement'!I47</f>
        <v>-74976.475635979848</v>
      </c>
      <c r="J52" s="103">
        <f>I52+'Income Statement'!J47</f>
        <v>-69960.660586471073</v>
      </c>
      <c r="K52" s="103">
        <f>J52+'Income Statement'!K47</f>
        <v>-61603.591281328365</v>
      </c>
      <c r="L52" s="103">
        <f>K52+'Income Statement'!L47</f>
        <v>-50031.305925197412</v>
      </c>
      <c r="M52" s="103">
        <f>L52+'Income Statement'!M47</f>
        <v>-36250.512425475361</v>
      </c>
      <c r="N52" s="14"/>
      <c r="O52" s="14"/>
      <c r="P52" s="14"/>
      <c r="Q52" s="14"/>
      <c r="R52" s="7"/>
      <c r="S52" s="7"/>
      <c r="T52" s="7"/>
      <c r="U52" s="7"/>
      <c r="V52" s="7"/>
      <c r="W52" s="7"/>
      <c r="X52" s="7"/>
      <c r="Y52" s="7"/>
    </row>
    <row r="53" spans="1:25" ht="15.75" customHeight="1">
      <c r="A53" s="7"/>
      <c r="B53" s="245" t="s">
        <v>270</v>
      </c>
      <c r="C53" s="217" t="s">
        <v>53</v>
      </c>
      <c r="D53" s="247">
        <v>86864.593999999997</v>
      </c>
      <c r="E53" s="247">
        <v>92853.61</v>
      </c>
      <c r="F53" s="247">
        <v>92970.562999999995</v>
      </c>
      <c r="G53" s="247">
        <v>75921.680999999997</v>
      </c>
      <c r="H53" s="247">
        <f>SUM(G53,'Income Statement'!H46)-'Income Statement'!H57</f>
        <v>64553.705000000002</v>
      </c>
      <c r="I53" s="246">
        <f>SUM(H53,'Income Statement'!I46)-'Income Statement'!I57</f>
        <v>54739.120732184427</v>
      </c>
      <c r="J53" s="247">
        <f>SUM(I53,'Income Statement'!J46)-'Income Statement'!J57</f>
        <v>55648.539306526174</v>
      </c>
      <c r="K53" s="247">
        <f>SUM(J53,'Income Statement'!K46)-'Income Statement'!K57</f>
        <v>66764.362205978774</v>
      </c>
      <c r="L53" s="247">
        <f>SUM(K53,'Income Statement'!L46)-'Income Statement'!L57</f>
        <v>87549.085201738082</v>
      </c>
      <c r="M53" s="247">
        <f>SUM(L53,'Income Statement'!M46)-'Income Statement'!M57</f>
        <v>114056.08399760214</v>
      </c>
      <c r="N53" s="14"/>
      <c r="O53" s="14"/>
      <c r="P53" s="14"/>
      <c r="Q53" s="14"/>
      <c r="R53" s="7"/>
      <c r="S53" s="7"/>
      <c r="T53" s="7"/>
      <c r="U53" s="7"/>
      <c r="V53" s="7"/>
      <c r="W53" s="7"/>
      <c r="X53" s="7"/>
      <c r="Y53" s="7"/>
    </row>
    <row r="54" spans="1:25" ht="15.75" customHeight="1">
      <c r="A54" s="7"/>
      <c r="B54" s="14" t="s">
        <v>271</v>
      </c>
      <c r="C54" s="55" t="s">
        <v>53</v>
      </c>
      <c r="D54" s="57">
        <f t="shared" ref="D54:M54" si="6">SUM(D49:D53)</f>
        <v>46828.362999999998</v>
      </c>
      <c r="E54" s="57">
        <f t="shared" si="6"/>
        <v>36455.786000000007</v>
      </c>
      <c r="F54" s="57">
        <f t="shared" si="6"/>
        <v>24938.596999999994</v>
      </c>
      <c r="G54" s="57">
        <f t="shared" si="6"/>
        <v>33929.977999999996</v>
      </c>
      <c r="H54" s="57">
        <f t="shared" si="6"/>
        <v>18961.323000000004</v>
      </c>
      <c r="I54" s="94">
        <f t="shared" si="6"/>
        <v>10773.645096204578</v>
      </c>
      <c r="J54" s="57">
        <f t="shared" si="6"/>
        <v>16699.185720055102</v>
      </c>
      <c r="K54" s="57">
        <f t="shared" si="6"/>
        <v>36172.07792465041</v>
      </c>
      <c r="L54" s="57">
        <f t="shared" si="6"/>
        <v>68529.086276540678</v>
      </c>
      <c r="M54" s="57">
        <f t="shared" si="6"/>
        <v>108816.87857212678</v>
      </c>
      <c r="N54" s="7"/>
      <c r="O54" s="7"/>
      <c r="P54" s="7"/>
      <c r="Q54" s="7"/>
      <c r="R54" s="7"/>
      <c r="S54" s="7"/>
      <c r="T54" s="7"/>
      <c r="U54" s="7"/>
      <c r="V54" s="7"/>
      <c r="W54" s="7"/>
      <c r="X54" s="7"/>
      <c r="Y54" s="7"/>
    </row>
    <row r="55" spans="1:25" ht="15.75" customHeight="1">
      <c r="A55" s="7"/>
      <c r="B55" s="7"/>
      <c r="C55" s="30"/>
      <c r="D55" s="30"/>
      <c r="E55" s="30"/>
      <c r="F55" s="30"/>
      <c r="G55" s="30"/>
      <c r="H55" s="30"/>
      <c r="I55" s="122"/>
      <c r="J55" s="20"/>
      <c r="K55" s="20"/>
      <c r="L55" s="20"/>
      <c r="M55" s="20"/>
      <c r="N55" s="7"/>
      <c r="O55" s="7"/>
      <c r="P55" s="7"/>
      <c r="Q55" s="7"/>
      <c r="R55" s="7"/>
      <c r="S55" s="7"/>
      <c r="T55" s="7"/>
      <c r="U55" s="7"/>
      <c r="V55" s="7"/>
      <c r="W55" s="7"/>
      <c r="X55" s="7"/>
      <c r="Y55" s="7"/>
    </row>
    <row r="56" spans="1:25" ht="15.75" customHeight="1">
      <c r="A56" s="7"/>
      <c r="B56" s="14" t="s">
        <v>272</v>
      </c>
      <c r="C56" s="55" t="s">
        <v>53</v>
      </c>
      <c r="D56" s="57">
        <f t="shared" ref="D56:M56" si="7">SUM(D46,D54)</f>
        <v>525624.02</v>
      </c>
      <c r="E56" s="57">
        <f t="shared" si="7"/>
        <v>541755.81200000003</v>
      </c>
      <c r="F56" s="57">
        <f t="shared" si="7"/>
        <v>494254.40700000001</v>
      </c>
      <c r="G56" s="57">
        <f t="shared" si="7"/>
        <v>470178.22199999995</v>
      </c>
      <c r="H56" s="57">
        <f t="shared" si="7"/>
        <v>516733.98900000006</v>
      </c>
      <c r="I56" s="94">
        <f t="shared" si="7"/>
        <v>468635.28657195799</v>
      </c>
      <c r="J56" s="57">
        <f t="shared" si="7"/>
        <v>453588.94696869457</v>
      </c>
      <c r="K56" s="57">
        <f t="shared" si="7"/>
        <v>446293.90551649389</v>
      </c>
      <c r="L56" s="57">
        <f t="shared" si="7"/>
        <v>449607.00634838897</v>
      </c>
      <c r="M56" s="57">
        <f t="shared" si="7"/>
        <v>455356.27573048393</v>
      </c>
      <c r="N56" s="7"/>
      <c r="O56" s="7"/>
      <c r="P56" s="7"/>
      <c r="Q56" s="7"/>
      <c r="R56" s="7"/>
      <c r="S56" s="7"/>
      <c r="T56" s="7"/>
      <c r="U56" s="7"/>
      <c r="V56" s="7"/>
      <c r="W56" s="7"/>
      <c r="X56" s="7"/>
      <c r="Y56" s="7"/>
    </row>
    <row r="57" spans="1:25" ht="15.75" customHeight="1">
      <c r="A57" s="7"/>
      <c r="B57" s="7"/>
      <c r="C57" s="30"/>
      <c r="D57" s="30"/>
      <c r="E57" s="30"/>
      <c r="F57" s="30"/>
      <c r="G57" s="30"/>
      <c r="H57" s="30"/>
      <c r="I57" s="122"/>
      <c r="J57" s="20"/>
      <c r="K57" s="20"/>
      <c r="L57" s="20"/>
      <c r="M57" s="20"/>
      <c r="N57" s="7"/>
      <c r="O57" s="7"/>
      <c r="P57" s="7"/>
      <c r="Q57" s="7"/>
      <c r="R57" s="7"/>
      <c r="S57" s="7"/>
      <c r="T57" s="7"/>
      <c r="U57" s="7"/>
      <c r="V57" s="7"/>
      <c r="W57" s="7"/>
      <c r="X57" s="7"/>
      <c r="Y57" s="7"/>
    </row>
    <row r="58" spans="1:25" ht="15.75" customHeight="1">
      <c r="A58" s="7"/>
      <c r="B58" s="5" t="s">
        <v>273</v>
      </c>
      <c r="C58" s="30"/>
      <c r="D58" s="253">
        <f t="shared" ref="D58:M58" si="8">D56-D24</f>
        <v>0</v>
      </c>
      <c r="E58" s="253">
        <f t="shared" si="8"/>
        <v>0</v>
      </c>
      <c r="F58" s="253">
        <f t="shared" si="8"/>
        <v>0</v>
      </c>
      <c r="G58" s="253">
        <f t="shared" si="8"/>
        <v>9.9999998928979039E-4</v>
      </c>
      <c r="H58" s="253">
        <f t="shared" si="8"/>
        <v>1.0000000474974513E-3</v>
      </c>
      <c r="I58" s="220">
        <f t="shared" si="8"/>
        <v>-0.21299999987240881</v>
      </c>
      <c r="J58" s="130">
        <f t="shared" si="8"/>
        <v>-0.10599999997066334</v>
      </c>
      <c r="K58" s="130">
        <f t="shared" si="8"/>
        <v>-0.30599999986588955</v>
      </c>
      <c r="L58" s="130">
        <f t="shared" si="8"/>
        <v>-0.50599999987753108</v>
      </c>
      <c r="M58" s="130">
        <f t="shared" si="8"/>
        <v>-0.70600000000558794</v>
      </c>
      <c r="N58" s="213"/>
      <c r="O58" s="213"/>
      <c r="P58" s="7"/>
      <c r="Q58" s="7"/>
      <c r="R58" s="7"/>
      <c r="S58" s="7"/>
      <c r="T58" s="7"/>
      <c r="U58" s="7"/>
      <c r="V58" s="7"/>
      <c r="W58" s="7"/>
      <c r="X58" s="7"/>
      <c r="Y58" s="7"/>
    </row>
    <row r="59" spans="1:25" ht="15.75" customHeight="1">
      <c r="A59" s="7"/>
      <c r="B59" s="5"/>
      <c r="C59" s="30"/>
      <c r="D59" s="253"/>
      <c r="E59" s="253"/>
      <c r="F59" s="253"/>
      <c r="G59" s="253"/>
      <c r="H59" s="253"/>
      <c r="I59" s="130"/>
      <c r="J59" s="130"/>
      <c r="K59" s="130"/>
      <c r="L59" s="130"/>
      <c r="M59" s="130"/>
      <c r="N59" s="213"/>
      <c r="O59" s="213"/>
      <c r="P59" s="7"/>
      <c r="Q59" s="7"/>
      <c r="R59" s="7"/>
      <c r="S59" s="7"/>
      <c r="T59" s="7"/>
      <c r="U59" s="7"/>
      <c r="V59" s="7"/>
      <c r="W59" s="7"/>
      <c r="X59" s="7"/>
      <c r="Y59" s="7"/>
    </row>
    <row r="60" spans="1:25" ht="15.75" customHeight="1">
      <c r="A60" s="7"/>
      <c r="B60" s="254" t="s">
        <v>274</v>
      </c>
      <c r="C60" s="255" t="s">
        <v>53</v>
      </c>
      <c r="D60" s="256">
        <f t="shared" ref="D60:M60" si="9">SUM(D41:D42,D32:D33)</f>
        <v>73138.148000000001</v>
      </c>
      <c r="E60" s="256">
        <f t="shared" si="9"/>
        <v>71303.199999999997</v>
      </c>
      <c r="F60" s="256">
        <f t="shared" si="9"/>
        <v>68154.069000000003</v>
      </c>
      <c r="G60" s="256">
        <f t="shared" si="9"/>
        <v>51034.343000000001</v>
      </c>
      <c r="H60" s="256">
        <f t="shared" si="9"/>
        <v>42317.561999999998</v>
      </c>
      <c r="I60" s="256">
        <f t="shared" si="9"/>
        <v>13256.812</v>
      </c>
      <c r="J60" s="256">
        <f t="shared" si="9"/>
        <v>7529.3953333333329</v>
      </c>
      <c r="K60" s="256">
        <f t="shared" si="9"/>
        <v>5963.978666666666</v>
      </c>
      <c r="L60" s="256">
        <f t="shared" si="9"/>
        <v>4398.561999999999</v>
      </c>
      <c r="M60" s="257">
        <f t="shared" si="9"/>
        <v>2833.145333333332</v>
      </c>
      <c r="N60" s="213"/>
      <c r="O60" s="213"/>
      <c r="P60" s="7"/>
      <c r="Q60" s="7"/>
      <c r="R60" s="7"/>
      <c r="S60" s="7"/>
      <c r="T60" s="7"/>
      <c r="U60" s="7"/>
      <c r="V60" s="7"/>
      <c r="W60" s="7"/>
      <c r="X60" s="7"/>
      <c r="Y60" s="7"/>
    </row>
    <row r="61" spans="1:25" ht="15.75" customHeight="1">
      <c r="A61" s="5"/>
      <c r="B61" s="83" t="s">
        <v>275</v>
      </c>
      <c r="C61" s="29" t="s">
        <v>276</v>
      </c>
      <c r="D61" s="258">
        <f t="shared" ref="D61:M61" si="10">D60/D54</f>
        <v>1.5618343951079392</v>
      </c>
      <c r="E61" s="258">
        <f t="shared" si="10"/>
        <v>1.9558815711722684</v>
      </c>
      <c r="F61" s="258">
        <f t="shared" si="10"/>
        <v>2.732875029016268</v>
      </c>
      <c r="G61" s="258">
        <f t="shared" si="10"/>
        <v>1.504107753916021</v>
      </c>
      <c r="H61" s="258">
        <f t="shared" si="10"/>
        <v>2.2317831936094326</v>
      </c>
      <c r="I61" s="258">
        <f t="shared" si="10"/>
        <v>1.2304853075836153</v>
      </c>
      <c r="J61" s="258">
        <f t="shared" si="10"/>
        <v>0.45088398078541092</v>
      </c>
      <c r="K61" s="258">
        <f t="shared" si="10"/>
        <v>0.16487796689728892</v>
      </c>
      <c r="L61" s="258">
        <f t="shared" si="10"/>
        <v>6.4185329748161893E-2</v>
      </c>
      <c r="M61" s="259">
        <f t="shared" si="10"/>
        <v>2.6035899673922797E-2</v>
      </c>
      <c r="N61" s="260"/>
      <c r="O61" s="260"/>
      <c r="P61" s="5"/>
      <c r="Q61" s="5"/>
      <c r="R61" s="5"/>
      <c r="S61" s="5"/>
      <c r="T61" s="5"/>
      <c r="U61" s="5"/>
      <c r="V61" s="5"/>
      <c r="W61" s="5"/>
      <c r="X61" s="5"/>
      <c r="Y61" s="5"/>
    </row>
    <row r="62" spans="1:25" ht="15.75" customHeight="1">
      <c r="A62" s="4"/>
      <c r="B62" s="147" t="s">
        <v>277</v>
      </c>
      <c r="C62" s="29" t="s">
        <v>53</v>
      </c>
      <c r="D62" s="20">
        <f t="shared" ref="D62:M62" si="11">SUM(D40:D42,D31:D33)</f>
        <v>131458.64499999999</v>
      </c>
      <c r="E62" s="20">
        <f t="shared" si="11"/>
        <v>127669.599</v>
      </c>
      <c r="F62" s="20">
        <f t="shared" si="11"/>
        <v>125281.48599999999</v>
      </c>
      <c r="G62" s="20">
        <f t="shared" si="11"/>
        <v>105927.13499999999</v>
      </c>
      <c r="H62" s="20">
        <f t="shared" si="11"/>
        <v>97138.21699999999</v>
      </c>
      <c r="I62" s="20">
        <f t="shared" si="11"/>
        <v>66594.407399999996</v>
      </c>
      <c r="J62" s="20">
        <f t="shared" si="11"/>
        <v>59354.269941333325</v>
      </c>
      <c r="K62" s="20">
        <f t="shared" si="11"/>
        <v>56245.878066826663</v>
      </c>
      <c r="L62" s="20">
        <f t="shared" si="11"/>
        <v>53106.626688163196</v>
      </c>
      <c r="M62" s="148">
        <f t="shared" si="11"/>
        <v>49935.898615259786</v>
      </c>
      <c r="N62" s="4"/>
      <c r="O62" s="4"/>
      <c r="P62" s="4"/>
      <c r="Q62" s="4"/>
      <c r="R62" s="4"/>
      <c r="S62" s="4"/>
      <c r="T62" s="4"/>
      <c r="U62" s="4"/>
      <c r="V62" s="4"/>
      <c r="W62" s="4"/>
      <c r="X62" s="4"/>
      <c r="Y62" s="4"/>
    </row>
    <row r="63" spans="1:25" ht="15.75" customHeight="1">
      <c r="A63" s="261"/>
      <c r="B63" s="83" t="s">
        <v>278</v>
      </c>
      <c r="C63" s="29" t="s">
        <v>276</v>
      </c>
      <c r="D63" s="258">
        <f t="shared" ref="D63:M63" si="12">D62/D54</f>
        <v>2.8072440841034738</v>
      </c>
      <c r="E63" s="258">
        <f t="shared" si="12"/>
        <v>3.5020394019210004</v>
      </c>
      <c r="F63" s="258">
        <f t="shared" si="12"/>
        <v>5.0235979995185787</v>
      </c>
      <c r="G63" s="258">
        <f t="shared" si="12"/>
        <v>3.1219335008115836</v>
      </c>
      <c r="H63" s="258">
        <f t="shared" si="12"/>
        <v>5.1229662086342795</v>
      </c>
      <c r="I63" s="258">
        <f t="shared" si="12"/>
        <v>6.1812327030765459</v>
      </c>
      <c r="J63" s="258">
        <f t="shared" si="12"/>
        <v>3.5543212068149557</v>
      </c>
      <c r="K63" s="258">
        <f t="shared" si="12"/>
        <v>1.5549529165560168</v>
      </c>
      <c r="L63" s="258">
        <f t="shared" si="12"/>
        <v>0.77495016457476107</v>
      </c>
      <c r="M63" s="259">
        <f t="shared" si="12"/>
        <v>0.4588984656655164</v>
      </c>
      <c r="N63" s="261"/>
      <c r="O63" s="261"/>
      <c r="P63" s="261"/>
      <c r="Q63" s="261"/>
      <c r="R63" s="261"/>
      <c r="S63" s="261"/>
      <c r="T63" s="261"/>
      <c r="U63" s="261"/>
      <c r="V63" s="261"/>
      <c r="W63" s="261"/>
      <c r="X63" s="261"/>
      <c r="Y63" s="261"/>
    </row>
    <row r="64" spans="1:25" ht="15.75" customHeight="1">
      <c r="A64" s="4"/>
      <c r="B64" s="262" t="s">
        <v>279</v>
      </c>
      <c r="C64" s="217" t="s">
        <v>53</v>
      </c>
      <c r="D64" s="158">
        <f t="shared" ref="D64:M64" si="13">D43+D34</f>
        <v>273314.658</v>
      </c>
      <c r="E64" s="158">
        <f t="shared" si="13"/>
        <v>317903.61000000004</v>
      </c>
      <c r="F64" s="158">
        <f t="shared" si="13"/>
        <v>285125.45699999999</v>
      </c>
      <c r="G64" s="158">
        <f t="shared" si="13"/>
        <v>271311.34100000001</v>
      </c>
      <c r="H64" s="158">
        <f t="shared" si="13"/>
        <v>334588.90000000002</v>
      </c>
      <c r="I64" s="158">
        <f t="shared" si="13"/>
        <v>325210.70105661266</v>
      </c>
      <c r="J64" s="158">
        <f t="shared" si="13"/>
        <v>313866.37252838857</v>
      </c>
      <c r="K64" s="158">
        <f t="shared" si="13"/>
        <v>290726.32598661917</v>
      </c>
      <c r="L64" s="158">
        <f t="shared" si="13"/>
        <v>266221.31475592119</v>
      </c>
      <c r="M64" s="159">
        <f t="shared" si="13"/>
        <v>234944.93662147393</v>
      </c>
      <c r="N64" s="4"/>
      <c r="O64" s="4"/>
      <c r="P64" s="4"/>
      <c r="Q64" s="4"/>
      <c r="R64" s="4"/>
      <c r="S64" s="4"/>
      <c r="T64" s="4"/>
      <c r="U64" s="4"/>
      <c r="V64" s="4"/>
      <c r="W64" s="4"/>
      <c r="X64" s="4"/>
      <c r="Y64" s="4"/>
    </row>
    <row r="65" spans="1:25" ht="15.75" customHeight="1">
      <c r="A65" s="7"/>
      <c r="B65" s="7"/>
      <c r="C65" s="30"/>
      <c r="D65" s="30"/>
      <c r="E65" s="30"/>
      <c r="F65" s="30"/>
      <c r="G65" s="30"/>
      <c r="H65" s="30"/>
      <c r="I65" s="7"/>
      <c r="J65" s="7"/>
      <c r="K65" s="7"/>
      <c r="L65" s="7"/>
      <c r="M65" s="7"/>
      <c r="N65" s="7"/>
      <c r="O65" s="7"/>
      <c r="P65" s="7"/>
      <c r="Q65" s="7"/>
      <c r="R65" s="7"/>
      <c r="S65" s="7"/>
      <c r="T65" s="7"/>
      <c r="U65" s="7"/>
      <c r="V65" s="7"/>
      <c r="W65" s="7"/>
      <c r="X65" s="7"/>
      <c r="Y65" s="7"/>
    </row>
    <row r="66" spans="1:25" ht="15.75" customHeight="1">
      <c r="A66" s="7"/>
      <c r="B66" s="7"/>
      <c r="C66" s="30"/>
      <c r="D66" s="30"/>
      <c r="E66" s="30"/>
      <c r="F66" s="30"/>
      <c r="G66" s="30"/>
      <c r="H66" s="30"/>
      <c r="I66" s="7"/>
      <c r="J66" s="7"/>
      <c r="K66" s="7"/>
      <c r="L66" s="7"/>
      <c r="M66" s="7"/>
      <c r="N66" s="7"/>
      <c r="O66" s="7"/>
      <c r="P66" s="7"/>
      <c r="Q66" s="7"/>
      <c r="R66" s="7"/>
      <c r="S66" s="7"/>
      <c r="T66" s="7"/>
      <c r="U66" s="7"/>
      <c r="V66" s="7"/>
      <c r="W66" s="7"/>
      <c r="X66" s="7"/>
      <c r="Y66" s="7"/>
    </row>
    <row r="67" spans="1:25" ht="15.75" customHeight="1">
      <c r="A67" s="7"/>
      <c r="B67" s="7"/>
      <c r="C67" s="30"/>
      <c r="D67" s="30"/>
      <c r="E67" s="30"/>
      <c r="F67" s="30"/>
      <c r="G67" s="30"/>
      <c r="H67" s="30"/>
      <c r="I67" s="7"/>
      <c r="J67" s="7"/>
      <c r="K67" s="7"/>
      <c r="L67" s="7"/>
      <c r="M67" s="7"/>
      <c r="N67" s="7"/>
      <c r="O67" s="7"/>
      <c r="P67" s="7"/>
      <c r="Q67" s="7"/>
      <c r="R67" s="7"/>
      <c r="S67" s="7"/>
      <c r="T67" s="7"/>
      <c r="U67" s="7"/>
      <c r="V67" s="7"/>
      <c r="W67" s="7"/>
      <c r="X67" s="7"/>
      <c r="Y67" s="7"/>
    </row>
    <row r="68" spans="1:25" ht="15.75" customHeight="1">
      <c r="A68" s="7"/>
      <c r="B68" s="7"/>
      <c r="C68" s="30"/>
      <c r="D68" s="30"/>
      <c r="E68" s="30"/>
      <c r="F68" s="30"/>
      <c r="G68" s="30"/>
      <c r="H68" s="30"/>
      <c r="I68" s="7"/>
      <c r="J68" s="7"/>
      <c r="K68" s="7"/>
      <c r="L68" s="7"/>
      <c r="M68" s="7"/>
      <c r="N68" s="7"/>
      <c r="O68" s="7"/>
      <c r="P68" s="7"/>
      <c r="Q68" s="7"/>
      <c r="R68" s="7"/>
      <c r="S68" s="7"/>
      <c r="T68" s="7"/>
      <c r="U68" s="7"/>
      <c r="V68" s="7"/>
      <c r="W68" s="7"/>
      <c r="X68" s="7"/>
      <c r="Y68" s="7"/>
    </row>
    <row r="69" spans="1:25" ht="15.75" customHeight="1">
      <c r="A69" s="7"/>
      <c r="B69" s="7"/>
      <c r="C69" s="30"/>
      <c r="D69" s="30"/>
      <c r="E69" s="30"/>
      <c r="F69" s="30"/>
      <c r="G69" s="30"/>
      <c r="H69" s="30"/>
      <c r="I69" s="7"/>
      <c r="J69" s="7"/>
      <c r="K69" s="7"/>
      <c r="L69" s="7"/>
      <c r="M69" s="7"/>
      <c r="N69" s="7"/>
      <c r="O69" s="7"/>
      <c r="P69" s="7"/>
      <c r="Q69" s="7"/>
      <c r="R69" s="7"/>
      <c r="S69" s="7"/>
      <c r="T69" s="7"/>
      <c r="U69" s="7"/>
      <c r="V69" s="7"/>
      <c r="W69" s="7"/>
      <c r="X69" s="7"/>
      <c r="Y69" s="7"/>
    </row>
    <row r="70" spans="1:25" ht="15.75" customHeight="1">
      <c r="A70" s="7"/>
      <c r="B70" s="7"/>
      <c r="C70" s="30"/>
      <c r="D70" s="30"/>
      <c r="E70" s="30"/>
      <c r="F70" s="30"/>
      <c r="G70" s="30"/>
      <c r="H70" s="30"/>
      <c r="I70" s="7"/>
      <c r="J70" s="7"/>
      <c r="K70" s="7"/>
      <c r="L70" s="7"/>
      <c r="M70" s="7"/>
      <c r="N70" s="7"/>
      <c r="O70" s="7"/>
      <c r="P70" s="7"/>
      <c r="Q70" s="7"/>
      <c r="R70" s="7"/>
      <c r="S70" s="7"/>
      <c r="T70" s="7"/>
      <c r="U70" s="7"/>
      <c r="V70" s="7"/>
      <c r="W70" s="7"/>
      <c r="X70" s="7"/>
      <c r="Y70" s="7"/>
    </row>
    <row r="71" spans="1:25" ht="15.75" customHeight="1">
      <c r="A71" s="7"/>
      <c r="B71" s="7"/>
      <c r="C71" s="30"/>
      <c r="D71" s="30"/>
      <c r="E71" s="30"/>
      <c r="F71" s="30"/>
      <c r="G71" s="30"/>
      <c r="H71" s="30"/>
      <c r="I71" s="7"/>
      <c r="J71" s="7"/>
      <c r="K71" s="7"/>
      <c r="L71" s="7"/>
      <c r="M71" s="7"/>
      <c r="N71" s="7"/>
      <c r="O71" s="7"/>
      <c r="P71" s="7"/>
      <c r="Q71" s="7"/>
      <c r="R71" s="7"/>
      <c r="S71" s="7"/>
      <c r="T71" s="7"/>
      <c r="U71" s="7"/>
      <c r="V71" s="7"/>
      <c r="W71" s="7"/>
      <c r="X71" s="7"/>
      <c r="Y71" s="7"/>
    </row>
    <row r="72" spans="1:25" ht="15.75" customHeight="1">
      <c r="A72" s="7"/>
      <c r="B72" s="7"/>
      <c r="C72" s="30"/>
      <c r="D72" s="30"/>
      <c r="E72" s="30"/>
      <c r="F72" s="30"/>
      <c r="G72" s="30"/>
      <c r="H72" s="30"/>
      <c r="I72" s="7"/>
      <c r="J72" s="7"/>
      <c r="K72" s="7"/>
      <c r="L72" s="7"/>
      <c r="M72" s="7"/>
      <c r="N72" s="7"/>
      <c r="O72" s="7"/>
      <c r="P72" s="7"/>
      <c r="Q72" s="7"/>
      <c r="R72" s="7"/>
      <c r="S72" s="7"/>
      <c r="T72" s="7"/>
      <c r="U72" s="7"/>
      <c r="V72" s="7"/>
      <c r="W72" s="7"/>
      <c r="X72" s="7"/>
      <c r="Y72" s="7"/>
    </row>
    <row r="73" spans="1:25" ht="15.75" customHeight="1">
      <c r="A73" s="7"/>
      <c r="B73" s="7"/>
      <c r="C73" s="30"/>
      <c r="D73" s="30"/>
      <c r="E73" s="30"/>
      <c r="F73" s="30"/>
      <c r="G73" s="30"/>
      <c r="H73" s="30"/>
      <c r="I73" s="7"/>
      <c r="J73" s="7"/>
      <c r="K73" s="7"/>
      <c r="L73" s="7"/>
      <c r="M73" s="7"/>
      <c r="N73" s="7"/>
      <c r="O73" s="7"/>
      <c r="P73" s="7"/>
      <c r="Q73" s="7"/>
      <c r="R73" s="7"/>
      <c r="S73" s="7"/>
      <c r="T73" s="7"/>
      <c r="U73" s="7"/>
      <c r="V73" s="7"/>
      <c r="W73" s="7"/>
      <c r="X73" s="7"/>
      <c r="Y73" s="7"/>
    </row>
    <row r="74" spans="1:25" ht="15.75" customHeight="1">
      <c r="A74" s="7"/>
      <c r="B74" s="7"/>
      <c r="C74" s="30"/>
      <c r="D74" s="30"/>
      <c r="E74" s="30"/>
      <c r="F74" s="30"/>
      <c r="G74" s="30"/>
      <c r="H74" s="30"/>
      <c r="I74" s="7"/>
      <c r="J74" s="7"/>
      <c r="K74" s="7"/>
      <c r="L74" s="7"/>
      <c r="M74" s="7"/>
      <c r="N74" s="7"/>
      <c r="O74" s="7"/>
      <c r="P74" s="7"/>
      <c r="Q74" s="7"/>
      <c r="R74" s="7"/>
      <c r="S74" s="7"/>
      <c r="T74" s="7"/>
      <c r="U74" s="7"/>
      <c r="V74" s="7"/>
      <c r="W74" s="7"/>
      <c r="X74" s="7"/>
      <c r="Y74" s="7"/>
    </row>
    <row r="75" spans="1:25" ht="15.75" customHeight="1">
      <c r="A75" s="7"/>
      <c r="B75" s="7"/>
      <c r="C75" s="30"/>
      <c r="D75" s="30"/>
      <c r="E75" s="30"/>
      <c r="F75" s="30"/>
      <c r="G75" s="30"/>
      <c r="H75" s="30"/>
      <c r="I75" s="7"/>
      <c r="J75" s="7"/>
      <c r="K75" s="7"/>
      <c r="L75" s="7"/>
      <c r="M75" s="7"/>
      <c r="N75" s="7"/>
      <c r="O75" s="7"/>
      <c r="P75" s="7"/>
      <c r="Q75" s="7"/>
      <c r="R75" s="7"/>
      <c r="S75" s="7"/>
      <c r="T75" s="7"/>
      <c r="U75" s="7"/>
      <c r="V75" s="7"/>
      <c r="W75" s="7"/>
      <c r="X75" s="7"/>
      <c r="Y75" s="7"/>
    </row>
    <row r="76" spans="1:25" ht="15.75" customHeight="1">
      <c r="A76" s="7"/>
      <c r="B76" s="7"/>
      <c r="C76" s="30"/>
      <c r="D76" s="30"/>
      <c r="E76" s="30"/>
      <c r="F76" s="30"/>
      <c r="G76" s="30"/>
      <c r="H76" s="30"/>
      <c r="I76" s="7"/>
      <c r="J76" s="7"/>
      <c r="K76" s="7"/>
      <c r="L76" s="7"/>
      <c r="M76" s="7"/>
      <c r="N76" s="7"/>
      <c r="O76" s="7"/>
      <c r="P76" s="7"/>
      <c r="Q76" s="7"/>
      <c r="R76" s="7"/>
      <c r="S76" s="7"/>
      <c r="T76" s="7"/>
      <c r="U76" s="7"/>
      <c r="V76" s="7"/>
      <c r="W76" s="7"/>
      <c r="X76" s="7"/>
      <c r="Y76" s="7"/>
    </row>
    <row r="77" spans="1:25" ht="15.75" customHeight="1">
      <c r="A77" s="7"/>
      <c r="B77" s="7"/>
      <c r="C77" s="30"/>
      <c r="D77" s="30"/>
      <c r="E77" s="30"/>
      <c r="F77" s="30"/>
      <c r="G77" s="30"/>
      <c r="H77" s="30"/>
      <c r="I77" s="7"/>
      <c r="J77" s="7"/>
      <c r="K77" s="7"/>
      <c r="L77" s="7"/>
      <c r="M77" s="7"/>
      <c r="N77" s="7"/>
      <c r="O77" s="7"/>
      <c r="P77" s="7"/>
      <c r="Q77" s="7"/>
      <c r="R77" s="7"/>
      <c r="S77" s="7"/>
      <c r="T77" s="7"/>
      <c r="U77" s="7"/>
      <c r="V77" s="7"/>
      <c r="W77" s="7"/>
      <c r="X77" s="7"/>
      <c r="Y77" s="7"/>
    </row>
    <row r="78" spans="1:25" ht="15.75" customHeight="1">
      <c r="A78" s="7"/>
      <c r="B78" s="7"/>
      <c r="C78" s="30"/>
      <c r="D78" s="30"/>
      <c r="E78" s="30"/>
      <c r="F78" s="30"/>
      <c r="G78" s="30"/>
      <c r="H78" s="30"/>
      <c r="I78" s="7"/>
      <c r="J78" s="7"/>
      <c r="K78" s="7"/>
      <c r="L78" s="7"/>
      <c r="M78" s="7"/>
      <c r="N78" s="7"/>
      <c r="O78" s="7"/>
      <c r="P78" s="7"/>
      <c r="Q78" s="7"/>
      <c r="R78" s="7"/>
      <c r="S78" s="7"/>
      <c r="T78" s="7"/>
      <c r="U78" s="7"/>
      <c r="V78" s="7"/>
      <c r="W78" s="7"/>
      <c r="X78" s="7"/>
      <c r="Y78" s="7"/>
    </row>
    <row r="79" spans="1:25" ht="15.75" customHeight="1">
      <c r="A79" s="7"/>
      <c r="B79" s="7"/>
      <c r="C79" s="30"/>
      <c r="D79" s="30"/>
      <c r="E79" s="30"/>
      <c r="F79" s="30"/>
      <c r="G79" s="30"/>
      <c r="H79" s="30"/>
      <c r="I79" s="7"/>
      <c r="J79" s="7"/>
      <c r="K79" s="7"/>
      <c r="L79" s="7"/>
      <c r="M79" s="7"/>
      <c r="N79" s="7"/>
      <c r="O79" s="7"/>
      <c r="P79" s="7"/>
      <c r="Q79" s="7"/>
      <c r="R79" s="7"/>
      <c r="S79" s="7"/>
      <c r="T79" s="7"/>
      <c r="U79" s="7"/>
      <c r="V79" s="7"/>
      <c r="W79" s="7"/>
      <c r="X79" s="7"/>
      <c r="Y79" s="7"/>
    </row>
    <row r="80" spans="1:25" ht="15.75" customHeight="1">
      <c r="A80" s="7"/>
      <c r="B80" s="7"/>
      <c r="C80" s="30"/>
      <c r="D80" s="30"/>
      <c r="E80" s="30"/>
      <c r="F80" s="30"/>
      <c r="G80" s="30"/>
      <c r="H80" s="30"/>
      <c r="I80" s="7"/>
      <c r="J80" s="7"/>
      <c r="K80" s="7"/>
      <c r="L80" s="7"/>
      <c r="M80" s="7"/>
      <c r="N80" s="7"/>
      <c r="O80" s="7"/>
      <c r="P80" s="7"/>
      <c r="Q80" s="7"/>
      <c r="R80" s="7"/>
      <c r="S80" s="7"/>
      <c r="T80" s="7"/>
      <c r="U80" s="7"/>
      <c r="V80" s="7"/>
      <c r="W80" s="7"/>
      <c r="X80" s="7"/>
      <c r="Y80" s="7"/>
    </row>
    <row r="81" spans="1:25" ht="15.75" customHeight="1">
      <c r="A81" s="7"/>
      <c r="B81" s="7"/>
      <c r="C81" s="30"/>
      <c r="D81" s="30"/>
      <c r="E81" s="30"/>
      <c r="F81" s="30"/>
      <c r="G81" s="30"/>
      <c r="H81" s="30"/>
      <c r="I81" s="7"/>
      <c r="J81" s="7"/>
      <c r="K81" s="7"/>
      <c r="L81" s="7"/>
      <c r="M81" s="7"/>
      <c r="N81" s="7"/>
      <c r="O81" s="7"/>
      <c r="P81" s="7"/>
      <c r="Q81" s="7"/>
      <c r="R81" s="7"/>
      <c r="S81" s="7"/>
      <c r="T81" s="7"/>
      <c r="U81" s="7"/>
      <c r="V81" s="7"/>
      <c r="W81" s="7"/>
      <c r="X81" s="7"/>
      <c r="Y81" s="7"/>
    </row>
    <row r="82" spans="1:25" ht="15.75" customHeight="1">
      <c r="A82" s="7"/>
      <c r="B82" s="7"/>
      <c r="C82" s="30"/>
      <c r="D82" s="30"/>
      <c r="E82" s="30"/>
      <c r="F82" s="30"/>
      <c r="G82" s="30"/>
      <c r="H82" s="30"/>
      <c r="I82" s="7"/>
      <c r="J82" s="7"/>
      <c r="K82" s="7"/>
      <c r="L82" s="7"/>
      <c r="M82" s="7"/>
      <c r="N82" s="7"/>
      <c r="O82" s="7"/>
      <c r="P82" s="7"/>
      <c r="Q82" s="7"/>
      <c r="R82" s="7"/>
      <c r="S82" s="7"/>
      <c r="T82" s="7"/>
      <c r="U82" s="7"/>
      <c r="V82" s="7"/>
      <c r="W82" s="7"/>
      <c r="X82" s="7"/>
      <c r="Y82" s="7"/>
    </row>
    <row r="83" spans="1:25" ht="15.75" customHeight="1">
      <c r="A83" s="7"/>
      <c r="B83" s="7"/>
      <c r="C83" s="30"/>
      <c r="D83" s="30"/>
      <c r="E83" s="30"/>
      <c r="F83" s="30"/>
      <c r="G83" s="30"/>
      <c r="H83" s="30"/>
      <c r="I83" s="7"/>
      <c r="J83" s="7"/>
      <c r="K83" s="7"/>
      <c r="L83" s="7"/>
      <c r="M83" s="7"/>
      <c r="N83" s="7"/>
      <c r="O83" s="7"/>
      <c r="P83" s="7"/>
      <c r="Q83" s="7"/>
      <c r="R83" s="7"/>
      <c r="S83" s="7"/>
      <c r="T83" s="7"/>
      <c r="U83" s="7"/>
      <c r="V83" s="7"/>
      <c r="W83" s="7"/>
      <c r="X83" s="7"/>
      <c r="Y83" s="7"/>
    </row>
    <row r="84" spans="1:25" ht="15.75" customHeight="1">
      <c r="A84" s="7"/>
      <c r="B84" s="7"/>
      <c r="C84" s="30"/>
      <c r="D84" s="30"/>
      <c r="E84" s="30"/>
      <c r="F84" s="30"/>
      <c r="G84" s="30"/>
      <c r="H84" s="30"/>
      <c r="I84" s="7"/>
      <c r="J84" s="7"/>
      <c r="K84" s="7"/>
      <c r="L84" s="7"/>
      <c r="M84" s="7"/>
      <c r="N84" s="7"/>
      <c r="O84" s="7"/>
      <c r="P84" s="7"/>
      <c r="Q84" s="7"/>
      <c r="R84" s="7"/>
      <c r="S84" s="7"/>
      <c r="T84" s="7"/>
      <c r="U84" s="7"/>
      <c r="V84" s="7"/>
      <c r="W84" s="7"/>
      <c r="X84" s="7"/>
      <c r="Y84" s="7"/>
    </row>
    <row r="85" spans="1:25" ht="15.75" customHeight="1">
      <c r="A85" s="7"/>
      <c r="B85" s="7"/>
      <c r="C85" s="30"/>
      <c r="D85" s="30"/>
      <c r="E85" s="30"/>
      <c r="F85" s="30"/>
      <c r="G85" s="30"/>
      <c r="H85" s="30"/>
      <c r="I85" s="7"/>
      <c r="J85" s="7"/>
      <c r="K85" s="7"/>
      <c r="L85" s="7"/>
      <c r="M85" s="7"/>
      <c r="N85" s="7"/>
      <c r="O85" s="7"/>
      <c r="P85" s="7"/>
      <c r="Q85" s="7"/>
      <c r="R85" s="7"/>
      <c r="S85" s="7"/>
      <c r="T85" s="7"/>
      <c r="U85" s="7"/>
      <c r="V85" s="7"/>
      <c r="W85" s="7"/>
      <c r="X85" s="7"/>
      <c r="Y85" s="7"/>
    </row>
    <row r="86" spans="1:25" ht="15.75" customHeight="1">
      <c r="A86" s="7"/>
      <c r="B86" s="7"/>
      <c r="C86" s="30"/>
      <c r="D86" s="30"/>
      <c r="E86" s="30"/>
      <c r="F86" s="30"/>
      <c r="G86" s="30"/>
      <c r="H86" s="30"/>
      <c r="I86" s="7"/>
      <c r="J86" s="7"/>
      <c r="K86" s="7"/>
      <c r="L86" s="7"/>
      <c r="M86" s="7"/>
      <c r="N86" s="7"/>
      <c r="O86" s="7"/>
      <c r="P86" s="7"/>
      <c r="Q86" s="7"/>
      <c r="R86" s="7"/>
      <c r="S86" s="7"/>
      <c r="T86" s="7"/>
      <c r="U86" s="7"/>
      <c r="V86" s="7"/>
      <c r="W86" s="7"/>
      <c r="X86" s="7"/>
      <c r="Y86" s="7"/>
    </row>
    <row r="87" spans="1:25" ht="15.75" customHeight="1">
      <c r="A87" s="7"/>
      <c r="B87" s="7"/>
      <c r="C87" s="30"/>
      <c r="D87" s="30"/>
      <c r="E87" s="30"/>
      <c r="F87" s="30"/>
      <c r="G87" s="30"/>
      <c r="H87" s="30"/>
      <c r="I87" s="7"/>
      <c r="J87" s="7"/>
      <c r="K87" s="7"/>
      <c r="L87" s="7"/>
      <c r="M87" s="7"/>
      <c r="N87" s="7"/>
      <c r="O87" s="7"/>
      <c r="P87" s="7"/>
      <c r="Q87" s="7"/>
      <c r="R87" s="7"/>
      <c r="S87" s="7"/>
      <c r="T87" s="7"/>
      <c r="U87" s="7"/>
      <c r="V87" s="7"/>
      <c r="W87" s="7"/>
      <c r="X87" s="7"/>
      <c r="Y87" s="7"/>
    </row>
    <row r="88" spans="1:25" ht="15.75" customHeight="1">
      <c r="A88" s="7"/>
      <c r="B88" s="7"/>
      <c r="C88" s="30"/>
      <c r="D88" s="30"/>
      <c r="E88" s="30"/>
      <c r="F88" s="30"/>
      <c r="G88" s="30"/>
      <c r="H88" s="30"/>
      <c r="I88" s="7"/>
      <c r="J88" s="7"/>
      <c r="K88" s="7"/>
      <c r="L88" s="7"/>
      <c r="M88" s="7"/>
      <c r="N88" s="7"/>
      <c r="O88" s="7"/>
      <c r="P88" s="7"/>
      <c r="Q88" s="7"/>
      <c r="R88" s="7"/>
      <c r="S88" s="7"/>
      <c r="T88" s="7"/>
      <c r="U88" s="7"/>
      <c r="V88" s="7"/>
      <c r="W88" s="7"/>
      <c r="X88" s="7"/>
      <c r="Y88" s="7"/>
    </row>
    <row r="89" spans="1:25" ht="15.75" customHeight="1">
      <c r="A89" s="7"/>
      <c r="B89" s="7"/>
      <c r="C89" s="30"/>
      <c r="D89" s="30"/>
      <c r="E89" s="30"/>
      <c r="F89" s="30"/>
      <c r="G89" s="30"/>
      <c r="H89" s="30"/>
      <c r="I89" s="7"/>
      <c r="J89" s="7"/>
      <c r="K89" s="7"/>
      <c r="L89" s="7"/>
      <c r="M89" s="7"/>
      <c r="N89" s="7"/>
      <c r="O89" s="7"/>
      <c r="P89" s="7"/>
      <c r="Q89" s="7"/>
      <c r="R89" s="7"/>
      <c r="S89" s="7"/>
      <c r="T89" s="7"/>
      <c r="U89" s="7"/>
      <c r="V89" s="7"/>
      <c r="W89" s="7"/>
      <c r="X89" s="7"/>
      <c r="Y89" s="7"/>
    </row>
    <row r="90" spans="1:25" ht="15.75" customHeight="1">
      <c r="A90" s="7"/>
      <c r="B90" s="7"/>
      <c r="C90" s="30"/>
      <c r="D90" s="30"/>
      <c r="E90" s="30"/>
      <c r="F90" s="30"/>
      <c r="G90" s="30"/>
      <c r="H90" s="30"/>
      <c r="I90" s="7"/>
      <c r="J90" s="7"/>
      <c r="K90" s="7"/>
      <c r="L90" s="7"/>
      <c r="M90" s="7"/>
      <c r="N90" s="7"/>
      <c r="O90" s="7"/>
      <c r="P90" s="7"/>
      <c r="Q90" s="7"/>
      <c r="R90" s="7"/>
      <c r="S90" s="7"/>
      <c r="T90" s="7"/>
      <c r="U90" s="7"/>
      <c r="V90" s="7"/>
      <c r="W90" s="7"/>
      <c r="X90" s="7"/>
      <c r="Y90" s="7"/>
    </row>
    <row r="91" spans="1:25" ht="15.75" customHeight="1">
      <c r="A91" s="7"/>
      <c r="B91" s="7"/>
      <c r="C91" s="30"/>
      <c r="D91" s="30"/>
      <c r="E91" s="30"/>
      <c r="F91" s="30"/>
      <c r="G91" s="30"/>
      <c r="H91" s="30"/>
      <c r="I91" s="7"/>
      <c r="J91" s="7"/>
      <c r="K91" s="7"/>
      <c r="L91" s="7"/>
      <c r="M91" s="7"/>
      <c r="N91" s="7"/>
      <c r="O91" s="7"/>
      <c r="P91" s="7"/>
      <c r="Q91" s="7"/>
      <c r="R91" s="7"/>
      <c r="S91" s="7"/>
      <c r="T91" s="7"/>
      <c r="U91" s="7"/>
      <c r="V91" s="7"/>
      <c r="W91" s="7"/>
      <c r="X91" s="7"/>
      <c r="Y91" s="7"/>
    </row>
    <row r="92" spans="1:25" ht="15.75" customHeight="1">
      <c r="A92" s="7"/>
      <c r="B92" s="7"/>
      <c r="C92" s="30"/>
      <c r="D92" s="30"/>
      <c r="E92" s="30"/>
      <c r="F92" s="30"/>
      <c r="G92" s="30"/>
      <c r="H92" s="30"/>
      <c r="I92" s="7"/>
      <c r="J92" s="7"/>
      <c r="K92" s="7"/>
      <c r="L92" s="7"/>
      <c r="M92" s="7"/>
      <c r="N92" s="7"/>
      <c r="O92" s="7"/>
      <c r="P92" s="7"/>
      <c r="Q92" s="7"/>
      <c r="R92" s="7"/>
      <c r="S92" s="7"/>
      <c r="T92" s="7"/>
      <c r="U92" s="7"/>
      <c r="V92" s="7"/>
      <c r="W92" s="7"/>
      <c r="X92" s="7"/>
      <c r="Y92" s="7"/>
    </row>
    <row r="93" spans="1:25" ht="15.75" customHeight="1">
      <c r="A93" s="7"/>
      <c r="B93" s="7"/>
      <c r="C93" s="30"/>
      <c r="D93" s="30"/>
      <c r="E93" s="30"/>
      <c r="F93" s="30"/>
      <c r="G93" s="30"/>
      <c r="H93" s="30"/>
      <c r="I93" s="7"/>
      <c r="J93" s="7"/>
      <c r="K93" s="7"/>
      <c r="L93" s="7"/>
      <c r="M93" s="7"/>
      <c r="N93" s="7"/>
      <c r="O93" s="7"/>
      <c r="P93" s="7"/>
      <c r="Q93" s="7"/>
      <c r="R93" s="7"/>
      <c r="S93" s="7"/>
      <c r="T93" s="7"/>
      <c r="U93" s="7"/>
      <c r="V93" s="7"/>
      <c r="W93" s="7"/>
      <c r="X93" s="7"/>
      <c r="Y93" s="7"/>
    </row>
    <row r="94" spans="1:25" ht="15.75" customHeight="1">
      <c r="A94" s="7"/>
      <c r="B94" s="7"/>
      <c r="C94" s="30"/>
      <c r="D94" s="30"/>
      <c r="E94" s="30"/>
      <c r="F94" s="30"/>
      <c r="G94" s="30"/>
      <c r="H94" s="30"/>
      <c r="I94" s="7"/>
      <c r="J94" s="7"/>
      <c r="K94" s="7"/>
      <c r="L94" s="7"/>
      <c r="M94" s="7"/>
      <c r="N94" s="7"/>
      <c r="O94" s="7"/>
      <c r="P94" s="7"/>
      <c r="Q94" s="7"/>
      <c r="R94" s="7"/>
      <c r="S94" s="7"/>
      <c r="T94" s="7"/>
      <c r="U94" s="7"/>
      <c r="V94" s="7"/>
      <c r="W94" s="7"/>
      <c r="X94" s="7"/>
      <c r="Y94" s="7"/>
    </row>
    <row r="95" spans="1:25" ht="15.75" customHeight="1">
      <c r="A95" s="7"/>
      <c r="B95" s="7"/>
      <c r="C95" s="30"/>
      <c r="D95" s="30"/>
      <c r="E95" s="30"/>
      <c r="F95" s="30"/>
      <c r="G95" s="30"/>
      <c r="H95" s="30"/>
      <c r="I95" s="7"/>
      <c r="J95" s="7"/>
      <c r="K95" s="7"/>
      <c r="L95" s="7"/>
      <c r="M95" s="7"/>
      <c r="N95" s="7"/>
      <c r="O95" s="7"/>
      <c r="P95" s="7"/>
      <c r="Q95" s="7"/>
      <c r="R95" s="7"/>
      <c r="S95" s="7"/>
      <c r="T95" s="7"/>
      <c r="U95" s="7"/>
      <c r="V95" s="7"/>
      <c r="W95" s="7"/>
      <c r="X95" s="7"/>
      <c r="Y95" s="7"/>
    </row>
    <row r="96" spans="1:25" ht="15.75" customHeight="1">
      <c r="A96" s="7"/>
      <c r="B96" s="7"/>
      <c r="C96" s="30"/>
      <c r="D96" s="30"/>
      <c r="E96" s="30"/>
      <c r="F96" s="30"/>
      <c r="G96" s="30"/>
      <c r="H96" s="30"/>
      <c r="I96" s="7"/>
      <c r="J96" s="7"/>
      <c r="K96" s="7"/>
      <c r="L96" s="7"/>
      <c r="M96" s="7"/>
      <c r="N96" s="7"/>
      <c r="O96" s="7"/>
      <c r="P96" s="7"/>
      <c r="Q96" s="7"/>
      <c r="R96" s="7"/>
      <c r="S96" s="7"/>
      <c r="T96" s="7"/>
      <c r="U96" s="7"/>
      <c r="V96" s="7"/>
      <c r="W96" s="7"/>
      <c r="X96" s="7"/>
      <c r="Y96" s="7"/>
    </row>
    <row r="97" spans="1:25" ht="15.75" customHeight="1">
      <c r="A97" s="7"/>
      <c r="B97" s="7"/>
      <c r="C97" s="30"/>
      <c r="D97" s="30"/>
      <c r="E97" s="30"/>
      <c r="F97" s="30"/>
      <c r="G97" s="30"/>
      <c r="H97" s="30"/>
      <c r="I97" s="7"/>
      <c r="J97" s="7"/>
      <c r="K97" s="7"/>
      <c r="L97" s="7"/>
      <c r="M97" s="7"/>
      <c r="N97" s="7"/>
      <c r="O97" s="7"/>
      <c r="P97" s="7"/>
      <c r="Q97" s="7"/>
      <c r="R97" s="7"/>
      <c r="S97" s="7"/>
      <c r="T97" s="7"/>
      <c r="U97" s="7"/>
      <c r="V97" s="7"/>
      <c r="W97" s="7"/>
      <c r="X97" s="7"/>
      <c r="Y97" s="7"/>
    </row>
    <row r="98" spans="1:25" ht="15.75" customHeight="1">
      <c r="A98" s="7"/>
      <c r="B98" s="7"/>
      <c r="C98" s="30"/>
      <c r="D98" s="30"/>
      <c r="E98" s="30"/>
      <c r="F98" s="30"/>
      <c r="G98" s="30"/>
      <c r="H98" s="30"/>
      <c r="I98" s="7"/>
      <c r="J98" s="7"/>
      <c r="K98" s="7"/>
      <c r="L98" s="7"/>
      <c r="M98" s="7"/>
      <c r="N98" s="7"/>
      <c r="O98" s="7"/>
      <c r="P98" s="7"/>
      <c r="Q98" s="7"/>
      <c r="R98" s="7"/>
      <c r="S98" s="7"/>
      <c r="T98" s="7"/>
      <c r="U98" s="7"/>
      <c r="V98" s="7"/>
      <c r="W98" s="7"/>
      <c r="X98" s="7"/>
      <c r="Y98" s="7"/>
    </row>
    <row r="99" spans="1:25" ht="15.75" customHeight="1">
      <c r="A99" s="7"/>
      <c r="B99" s="7"/>
      <c r="C99" s="30"/>
      <c r="D99" s="30"/>
      <c r="E99" s="30"/>
      <c r="F99" s="30"/>
      <c r="G99" s="30"/>
      <c r="H99" s="30"/>
      <c r="I99" s="7"/>
      <c r="J99" s="7"/>
      <c r="K99" s="7"/>
      <c r="L99" s="7"/>
      <c r="M99" s="7"/>
      <c r="N99" s="7"/>
      <c r="O99" s="7"/>
      <c r="P99" s="7"/>
      <c r="Q99" s="7"/>
      <c r="R99" s="7"/>
      <c r="S99" s="7"/>
      <c r="T99" s="7"/>
      <c r="U99" s="7"/>
      <c r="V99" s="7"/>
      <c r="W99" s="7"/>
      <c r="X99" s="7"/>
      <c r="Y99" s="7"/>
    </row>
    <row r="100" spans="1:25" ht="15.75" customHeight="1">
      <c r="A100" s="7"/>
      <c r="B100" s="7"/>
      <c r="C100" s="30"/>
      <c r="D100" s="30"/>
      <c r="E100" s="30"/>
      <c r="F100" s="30"/>
      <c r="G100" s="30"/>
      <c r="H100" s="30"/>
      <c r="I100" s="7"/>
      <c r="J100" s="7"/>
      <c r="K100" s="7"/>
      <c r="L100" s="7"/>
      <c r="M100" s="7"/>
      <c r="N100" s="7"/>
      <c r="O100" s="7"/>
      <c r="P100" s="7"/>
      <c r="Q100" s="7"/>
      <c r="R100" s="7"/>
      <c r="S100" s="7"/>
      <c r="T100" s="7"/>
      <c r="U100" s="7"/>
      <c r="V100" s="7"/>
      <c r="W100" s="7"/>
      <c r="X100" s="7"/>
      <c r="Y100" s="7"/>
    </row>
    <row r="101" spans="1:25" ht="15.75" customHeight="1">
      <c r="A101" s="7"/>
      <c r="B101" s="7"/>
      <c r="C101" s="30"/>
      <c r="D101" s="30"/>
      <c r="E101" s="30"/>
      <c r="F101" s="30"/>
      <c r="G101" s="30"/>
      <c r="H101" s="30"/>
      <c r="I101" s="7"/>
      <c r="J101" s="7"/>
      <c r="K101" s="7"/>
      <c r="L101" s="7"/>
      <c r="M101" s="7"/>
      <c r="N101" s="7"/>
      <c r="O101" s="7"/>
      <c r="P101" s="7"/>
      <c r="Q101" s="7"/>
      <c r="R101" s="7"/>
      <c r="S101" s="7"/>
      <c r="T101" s="7"/>
      <c r="U101" s="7"/>
      <c r="V101" s="7"/>
      <c r="W101" s="7"/>
      <c r="X101" s="7"/>
      <c r="Y101" s="7"/>
    </row>
    <row r="102" spans="1:25" ht="15.75" customHeight="1">
      <c r="A102" s="7"/>
      <c r="B102" s="7"/>
      <c r="C102" s="30"/>
      <c r="D102" s="30"/>
      <c r="E102" s="30"/>
      <c r="F102" s="30"/>
      <c r="G102" s="30"/>
      <c r="H102" s="30"/>
      <c r="I102" s="7"/>
      <c r="J102" s="7"/>
      <c r="K102" s="7"/>
      <c r="L102" s="7"/>
      <c r="M102" s="7"/>
      <c r="N102" s="7"/>
      <c r="O102" s="7"/>
      <c r="P102" s="7"/>
      <c r="Q102" s="7"/>
      <c r="R102" s="7"/>
      <c r="S102" s="7"/>
      <c r="T102" s="7"/>
      <c r="U102" s="7"/>
      <c r="V102" s="7"/>
      <c r="W102" s="7"/>
      <c r="X102" s="7"/>
      <c r="Y102" s="7"/>
    </row>
    <row r="103" spans="1:25" ht="15.75" customHeight="1">
      <c r="A103" s="7"/>
      <c r="B103" s="7"/>
      <c r="C103" s="30"/>
      <c r="D103" s="30"/>
      <c r="E103" s="30"/>
      <c r="F103" s="30"/>
      <c r="G103" s="30"/>
      <c r="H103" s="30"/>
      <c r="I103" s="7"/>
      <c r="J103" s="7"/>
      <c r="K103" s="7"/>
      <c r="L103" s="7"/>
      <c r="M103" s="7"/>
      <c r="N103" s="7"/>
      <c r="O103" s="7"/>
      <c r="P103" s="7"/>
      <c r="Q103" s="7"/>
      <c r="R103" s="7"/>
      <c r="S103" s="7"/>
      <c r="T103" s="7"/>
      <c r="U103" s="7"/>
      <c r="V103" s="7"/>
      <c r="W103" s="7"/>
      <c r="X103" s="7"/>
      <c r="Y103" s="7"/>
    </row>
    <row r="104" spans="1:25" ht="15.75" customHeight="1">
      <c r="A104" s="7"/>
      <c r="B104" s="7"/>
      <c r="C104" s="30"/>
      <c r="D104" s="30"/>
      <c r="E104" s="30"/>
      <c r="F104" s="30"/>
      <c r="G104" s="30"/>
      <c r="H104" s="30"/>
      <c r="I104" s="7"/>
      <c r="J104" s="7"/>
      <c r="K104" s="7"/>
      <c r="L104" s="7"/>
      <c r="M104" s="7"/>
      <c r="N104" s="7"/>
      <c r="O104" s="7"/>
      <c r="P104" s="7"/>
      <c r="Q104" s="7"/>
      <c r="R104" s="7"/>
      <c r="S104" s="7"/>
      <c r="T104" s="7"/>
      <c r="U104" s="7"/>
      <c r="V104" s="7"/>
      <c r="W104" s="7"/>
      <c r="X104" s="7"/>
      <c r="Y104" s="7"/>
    </row>
    <row r="105" spans="1:25" ht="15.75" customHeight="1">
      <c r="A105" s="7"/>
      <c r="B105" s="7"/>
      <c r="C105" s="30"/>
      <c r="D105" s="30"/>
      <c r="E105" s="30"/>
      <c r="F105" s="30"/>
      <c r="G105" s="30"/>
      <c r="H105" s="30"/>
      <c r="I105" s="7"/>
      <c r="J105" s="7"/>
      <c r="K105" s="7"/>
      <c r="L105" s="7"/>
      <c r="M105" s="7"/>
      <c r="N105" s="7"/>
      <c r="O105" s="7"/>
      <c r="P105" s="7"/>
      <c r="Q105" s="7"/>
      <c r="R105" s="7"/>
      <c r="S105" s="7"/>
      <c r="T105" s="7"/>
      <c r="U105" s="7"/>
      <c r="V105" s="7"/>
      <c r="W105" s="7"/>
      <c r="X105" s="7"/>
      <c r="Y105" s="7"/>
    </row>
    <row r="106" spans="1:25" ht="15.75" customHeight="1">
      <c r="A106" s="7"/>
      <c r="B106" s="7"/>
      <c r="C106" s="30"/>
      <c r="D106" s="30"/>
      <c r="E106" s="30"/>
      <c r="F106" s="30"/>
      <c r="G106" s="30"/>
      <c r="H106" s="30"/>
      <c r="I106" s="7"/>
      <c r="J106" s="7"/>
      <c r="K106" s="7"/>
      <c r="L106" s="7"/>
      <c r="M106" s="7"/>
      <c r="N106" s="7"/>
      <c r="O106" s="7"/>
      <c r="P106" s="7"/>
      <c r="Q106" s="7"/>
      <c r="R106" s="7"/>
      <c r="S106" s="7"/>
      <c r="T106" s="7"/>
      <c r="U106" s="7"/>
      <c r="V106" s="7"/>
      <c r="W106" s="7"/>
      <c r="X106" s="7"/>
      <c r="Y106" s="7"/>
    </row>
    <row r="107" spans="1:25" ht="15.75" customHeight="1">
      <c r="A107" s="7"/>
      <c r="B107" s="7"/>
      <c r="C107" s="30"/>
      <c r="D107" s="30"/>
      <c r="E107" s="30"/>
      <c r="F107" s="30"/>
      <c r="G107" s="30"/>
      <c r="H107" s="30"/>
      <c r="I107" s="7"/>
      <c r="J107" s="7"/>
      <c r="K107" s="7"/>
      <c r="L107" s="7"/>
      <c r="M107" s="7"/>
      <c r="N107" s="7"/>
      <c r="O107" s="7"/>
      <c r="P107" s="7"/>
      <c r="Q107" s="7"/>
      <c r="R107" s="7"/>
      <c r="S107" s="7"/>
      <c r="T107" s="7"/>
      <c r="U107" s="7"/>
      <c r="V107" s="7"/>
      <c r="W107" s="7"/>
      <c r="X107" s="7"/>
      <c r="Y107" s="7"/>
    </row>
    <row r="108" spans="1:25" ht="15.75" customHeight="1">
      <c r="A108" s="7"/>
      <c r="B108" s="7"/>
      <c r="C108" s="30"/>
      <c r="D108" s="30"/>
      <c r="E108" s="30"/>
      <c r="F108" s="30"/>
      <c r="G108" s="30"/>
      <c r="H108" s="30"/>
      <c r="I108" s="7"/>
      <c r="J108" s="7"/>
      <c r="K108" s="7"/>
      <c r="L108" s="7"/>
      <c r="M108" s="7"/>
      <c r="N108" s="7"/>
      <c r="O108" s="7"/>
      <c r="P108" s="7"/>
      <c r="Q108" s="7"/>
      <c r="R108" s="7"/>
      <c r="S108" s="7"/>
      <c r="T108" s="7"/>
      <c r="U108" s="7"/>
      <c r="V108" s="7"/>
      <c r="W108" s="7"/>
      <c r="X108" s="7"/>
      <c r="Y108" s="7"/>
    </row>
    <row r="109" spans="1:25" ht="15.75" customHeight="1">
      <c r="A109" s="7"/>
      <c r="B109" s="7"/>
      <c r="C109" s="30"/>
      <c r="D109" s="30"/>
      <c r="E109" s="30"/>
      <c r="F109" s="30"/>
      <c r="G109" s="30"/>
      <c r="H109" s="30"/>
      <c r="I109" s="7"/>
      <c r="J109" s="7"/>
      <c r="K109" s="7"/>
      <c r="L109" s="7"/>
      <c r="M109" s="7"/>
      <c r="N109" s="7"/>
      <c r="O109" s="7"/>
      <c r="P109" s="7"/>
      <c r="Q109" s="7"/>
      <c r="R109" s="7"/>
      <c r="S109" s="7"/>
      <c r="T109" s="7"/>
      <c r="U109" s="7"/>
      <c r="V109" s="7"/>
      <c r="W109" s="7"/>
      <c r="X109" s="7"/>
      <c r="Y109" s="7"/>
    </row>
    <row r="110" spans="1:25" ht="15.75" customHeight="1">
      <c r="A110" s="7"/>
      <c r="B110" s="7"/>
      <c r="C110" s="30"/>
      <c r="D110" s="30"/>
      <c r="E110" s="30"/>
      <c r="F110" s="30"/>
      <c r="G110" s="30"/>
      <c r="H110" s="30"/>
      <c r="I110" s="7"/>
      <c r="J110" s="7"/>
      <c r="K110" s="7"/>
      <c r="L110" s="7"/>
      <c r="M110" s="7"/>
      <c r="N110" s="7"/>
      <c r="O110" s="7"/>
      <c r="P110" s="7"/>
      <c r="Q110" s="7"/>
      <c r="R110" s="7"/>
      <c r="S110" s="7"/>
      <c r="T110" s="7"/>
      <c r="U110" s="7"/>
      <c r="V110" s="7"/>
      <c r="W110" s="7"/>
      <c r="X110" s="7"/>
      <c r="Y110" s="7"/>
    </row>
    <row r="111" spans="1:25" ht="15.75" customHeight="1">
      <c r="A111" s="7"/>
      <c r="B111" s="7"/>
      <c r="C111" s="30"/>
      <c r="D111" s="30"/>
      <c r="E111" s="30"/>
      <c r="F111" s="30"/>
      <c r="G111" s="30"/>
      <c r="H111" s="30"/>
      <c r="I111" s="7"/>
      <c r="J111" s="7"/>
      <c r="K111" s="7"/>
      <c r="L111" s="7"/>
      <c r="M111" s="7"/>
      <c r="N111" s="7"/>
      <c r="O111" s="7"/>
      <c r="P111" s="7"/>
      <c r="Q111" s="7"/>
      <c r="R111" s="7"/>
      <c r="S111" s="7"/>
      <c r="T111" s="7"/>
      <c r="U111" s="7"/>
      <c r="V111" s="7"/>
      <c r="W111" s="7"/>
      <c r="X111" s="7"/>
      <c r="Y111" s="7"/>
    </row>
    <row r="112" spans="1:25" ht="15.75" customHeight="1">
      <c r="A112" s="7"/>
      <c r="B112" s="7"/>
      <c r="C112" s="30"/>
      <c r="D112" s="30"/>
      <c r="E112" s="30"/>
      <c r="F112" s="30"/>
      <c r="G112" s="30"/>
      <c r="H112" s="30"/>
      <c r="I112" s="7"/>
      <c r="J112" s="7"/>
      <c r="K112" s="7"/>
      <c r="L112" s="7"/>
      <c r="M112" s="7"/>
      <c r="N112" s="7"/>
      <c r="O112" s="7"/>
      <c r="P112" s="7"/>
      <c r="Q112" s="7"/>
      <c r="R112" s="7"/>
      <c r="S112" s="7"/>
      <c r="T112" s="7"/>
      <c r="U112" s="7"/>
      <c r="V112" s="7"/>
      <c r="W112" s="7"/>
      <c r="X112" s="7"/>
      <c r="Y112" s="7"/>
    </row>
    <row r="113" spans="1:25" ht="15.75" customHeight="1">
      <c r="A113" s="7"/>
      <c r="B113" s="7"/>
      <c r="C113" s="30"/>
      <c r="D113" s="30"/>
      <c r="E113" s="30"/>
      <c r="F113" s="30"/>
      <c r="G113" s="30"/>
      <c r="H113" s="30"/>
      <c r="I113" s="7"/>
      <c r="J113" s="7"/>
      <c r="K113" s="7"/>
      <c r="L113" s="7"/>
      <c r="M113" s="7"/>
      <c r="N113" s="7"/>
      <c r="O113" s="7"/>
      <c r="P113" s="7"/>
      <c r="Q113" s="7"/>
      <c r="R113" s="7"/>
      <c r="S113" s="7"/>
      <c r="T113" s="7"/>
      <c r="U113" s="7"/>
      <c r="V113" s="7"/>
      <c r="W113" s="7"/>
      <c r="X113" s="7"/>
      <c r="Y113" s="7"/>
    </row>
    <row r="114" spans="1:25" ht="15.75" customHeight="1">
      <c r="A114" s="7"/>
      <c r="B114" s="7"/>
      <c r="C114" s="30"/>
      <c r="D114" s="30"/>
      <c r="E114" s="30"/>
      <c r="F114" s="30"/>
      <c r="G114" s="30"/>
      <c r="H114" s="30"/>
      <c r="I114" s="7"/>
      <c r="J114" s="7"/>
      <c r="K114" s="7"/>
      <c r="L114" s="7"/>
      <c r="M114" s="7"/>
      <c r="N114" s="7"/>
      <c r="O114" s="7"/>
      <c r="P114" s="7"/>
      <c r="Q114" s="7"/>
      <c r="R114" s="7"/>
      <c r="S114" s="7"/>
      <c r="T114" s="7"/>
      <c r="U114" s="7"/>
      <c r="V114" s="7"/>
      <c r="W114" s="7"/>
      <c r="X114" s="7"/>
      <c r="Y114" s="7"/>
    </row>
    <row r="115" spans="1:25" ht="15.75" customHeight="1">
      <c r="A115" s="7"/>
      <c r="B115" s="7"/>
      <c r="C115" s="30"/>
      <c r="D115" s="30"/>
      <c r="E115" s="30"/>
      <c r="F115" s="30"/>
      <c r="G115" s="30"/>
      <c r="H115" s="30"/>
      <c r="I115" s="7"/>
      <c r="J115" s="7"/>
      <c r="K115" s="7"/>
      <c r="L115" s="7"/>
      <c r="M115" s="7"/>
      <c r="N115" s="7"/>
      <c r="O115" s="7"/>
      <c r="P115" s="7"/>
      <c r="Q115" s="7"/>
      <c r="R115" s="7"/>
      <c r="S115" s="7"/>
      <c r="T115" s="7"/>
      <c r="U115" s="7"/>
      <c r="V115" s="7"/>
      <c r="W115" s="7"/>
      <c r="X115" s="7"/>
      <c r="Y115" s="7"/>
    </row>
    <row r="116" spans="1:25" ht="15.75" customHeight="1">
      <c r="A116" s="7"/>
      <c r="B116" s="7"/>
      <c r="C116" s="30"/>
      <c r="D116" s="30"/>
      <c r="E116" s="30"/>
      <c r="F116" s="30"/>
      <c r="G116" s="30"/>
      <c r="H116" s="30"/>
      <c r="I116" s="7"/>
      <c r="J116" s="7"/>
      <c r="K116" s="7"/>
      <c r="L116" s="7"/>
      <c r="M116" s="7"/>
      <c r="N116" s="7"/>
      <c r="O116" s="7"/>
      <c r="P116" s="7"/>
      <c r="Q116" s="7"/>
      <c r="R116" s="7"/>
      <c r="S116" s="7"/>
      <c r="T116" s="7"/>
      <c r="U116" s="7"/>
      <c r="V116" s="7"/>
      <c r="W116" s="7"/>
      <c r="X116" s="7"/>
      <c r="Y116" s="7"/>
    </row>
    <row r="117" spans="1:25" ht="15.75" customHeight="1">
      <c r="A117" s="7"/>
      <c r="B117" s="7"/>
      <c r="C117" s="30"/>
      <c r="D117" s="30"/>
      <c r="E117" s="30"/>
      <c r="F117" s="30"/>
      <c r="G117" s="30"/>
      <c r="H117" s="30"/>
      <c r="I117" s="7"/>
      <c r="J117" s="7"/>
      <c r="K117" s="7"/>
      <c r="L117" s="7"/>
      <c r="M117" s="7"/>
      <c r="N117" s="7"/>
      <c r="O117" s="7"/>
      <c r="P117" s="7"/>
      <c r="Q117" s="7"/>
      <c r="R117" s="7"/>
      <c r="S117" s="7"/>
      <c r="T117" s="7"/>
      <c r="U117" s="7"/>
      <c r="V117" s="7"/>
      <c r="W117" s="7"/>
      <c r="X117" s="7"/>
      <c r="Y117" s="7"/>
    </row>
    <row r="118" spans="1:25" ht="15.75" customHeight="1">
      <c r="A118" s="7"/>
      <c r="B118" s="7"/>
      <c r="C118" s="30"/>
      <c r="D118" s="30"/>
      <c r="E118" s="30"/>
      <c r="F118" s="30"/>
      <c r="G118" s="30"/>
      <c r="H118" s="30"/>
      <c r="I118" s="7"/>
      <c r="J118" s="7"/>
      <c r="K118" s="7"/>
      <c r="L118" s="7"/>
      <c r="M118" s="7"/>
      <c r="N118" s="7"/>
      <c r="O118" s="7"/>
      <c r="P118" s="7"/>
      <c r="Q118" s="7"/>
      <c r="R118" s="7"/>
      <c r="S118" s="7"/>
      <c r="T118" s="7"/>
      <c r="U118" s="7"/>
      <c r="V118" s="7"/>
      <c r="W118" s="7"/>
      <c r="X118" s="7"/>
      <c r="Y118" s="7"/>
    </row>
    <row r="119" spans="1:25" ht="15.75" customHeight="1">
      <c r="A119" s="7"/>
      <c r="B119" s="7"/>
      <c r="C119" s="30"/>
      <c r="D119" s="30"/>
      <c r="E119" s="30"/>
      <c r="F119" s="30"/>
      <c r="G119" s="30"/>
      <c r="H119" s="30"/>
      <c r="I119" s="7"/>
      <c r="J119" s="7"/>
      <c r="K119" s="7"/>
      <c r="L119" s="7"/>
      <c r="M119" s="7"/>
      <c r="N119" s="7"/>
      <c r="O119" s="7"/>
      <c r="P119" s="7"/>
      <c r="Q119" s="7"/>
      <c r="R119" s="7"/>
      <c r="S119" s="7"/>
      <c r="T119" s="7"/>
      <c r="U119" s="7"/>
      <c r="V119" s="7"/>
      <c r="W119" s="7"/>
      <c r="X119" s="7"/>
      <c r="Y119" s="7"/>
    </row>
    <row r="120" spans="1:25" ht="15.75" customHeight="1">
      <c r="A120" s="7"/>
      <c r="B120" s="7"/>
      <c r="C120" s="30"/>
      <c r="D120" s="30"/>
      <c r="E120" s="30"/>
      <c r="F120" s="30"/>
      <c r="G120" s="30"/>
      <c r="H120" s="30"/>
      <c r="I120" s="7"/>
      <c r="J120" s="7"/>
      <c r="K120" s="7"/>
      <c r="L120" s="7"/>
      <c r="M120" s="7"/>
      <c r="N120" s="7"/>
      <c r="O120" s="7"/>
      <c r="P120" s="7"/>
      <c r="Q120" s="7"/>
      <c r="R120" s="7"/>
      <c r="S120" s="7"/>
      <c r="T120" s="7"/>
      <c r="U120" s="7"/>
      <c r="V120" s="7"/>
      <c r="W120" s="7"/>
      <c r="X120" s="7"/>
      <c r="Y120" s="7"/>
    </row>
    <row r="121" spans="1:25" ht="15.75" customHeight="1">
      <c r="A121" s="7"/>
      <c r="B121" s="7"/>
      <c r="C121" s="30"/>
      <c r="D121" s="30"/>
      <c r="E121" s="30"/>
      <c r="F121" s="30"/>
      <c r="G121" s="30"/>
      <c r="H121" s="30"/>
      <c r="I121" s="7"/>
      <c r="J121" s="7"/>
      <c r="K121" s="7"/>
      <c r="L121" s="7"/>
      <c r="M121" s="7"/>
      <c r="N121" s="7"/>
      <c r="O121" s="7"/>
      <c r="P121" s="7"/>
      <c r="Q121" s="7"/>
      <c r="R121" s="7"/>
      <c r="S121" s="7"/>
      <c r="T121" s="7"/>
      <c r="U121" s="7"/>
      <c r="V121" s="7"/>
      <c r="W121" s="7"/>
      <c r="X121" s="7"/>
      <c r="Y121" s="7"/>
    </row>
    <row r="122" spans="1:25" ht="15.75" customHeight="1">
      <c r="A122" s="7"/>
      <c r="B122" s="7"/>
      <c r="C122" s="30"/>
      <c r="D122" s="30"/>
      <c r="E122" s="30"/>
      <c r="F122" s="30"/>
      <c r="G122" s="30"/>
      <c r="H122" s="30"/>
      <c r="I122" s="7"/>
      <c r="J122" s="7"/>
      <c r="K122" s="7"/>
      <c r="L122" s="7"/>
      <c r="M122" s="7"/>
      <c r="N122" s="7"/>
      <c r="O122" s="7"/>
      <c r="P122" s="7"/>
      <c r="Q122" s="7"/>
      <c r="R122" s="7"/>
      <c r="S122" s="7"/>
      <c r="T122" s="7"/>
      <c r="U122" s="7"/>
      <c r="V122" s="7"/>
      <c r="W122" s="7"/>
      <c r="X122" s="7"/>
      <c r="Y122" s="7"/>
    </row>
    <row r="123" spans="1:25" ht="15.75" customHeight="1">
      <c r="A123" s="7"/>
      <c r="B123" s="7"/>
      <c r="C123" s="30"/>
      <c r="D123" s="30"/>
      <c r="E123" s="30"/>
      <c r="F123" s="30"/>
      <c r="G123" s="30"/>
      <c r="H123" s="30"/>
      <c r="I123" s="7"/>
      <c r="J123" s="7"/>
      <c r="K123" s="7"/>
      <c r="L123" s="7"/>
      <c r="M123" s="7"/>
      <c r="N123" s="7"/>
      <c r="O123" s="7"/>
      <c r="P123" s="7"/>
      <c r="Q123" s="7"/>
      <c r="R123" s="7"/>
      <c r="S123" s="7"/>
      <c r="T123" s="7"/>
      <c r="U123" s="7"/>
      <c r="V123" s="7"/>
      <c r="W123" s="7"/>
      <c r="X123" s="7"/>
      <c r="Y123" s="7"/>
    </row>
    <row r="124" spans="1:25" ht="15.75" customHeight="1">
      <c r="A124" s="7"/>
      <c r="B124" s="7"/>
      <c r="C124" s="30"/>
      <c r="D124" s="30"/>
      <c r="E124" s="30"/>
      <c r="F124" s="30"/>
      <c r="G124" s="30"/>
      <c r="H124" s="30"/>
      <c r="I124" s="7"/>
      <c r="J124" s="7"/>
      <c r="K124" s="7"/>
      <c r="L124" s="7"/>
      <c r="M124" s="7"/>
      <c r="N124" s="7"/>
      <c r="O124" s="7"/>
      <c r="P124" s="7"/>
      <c r="Q124" s="7"/>
      <c r="R124" s="7"/>
      <c r="S124" s="7"/>
      <c r="T124" s="7"/>
      <c r="U124" s="7"/>
      <c r="V124" s="7"/>
      <c r="W124" s="7"/>
      <c r="X124" s="7"/>
      <c r="Y124" s="7"/>
    </row>
    <row r="125" spans="1:25" ht="15.75" customHeight="1">
      <c r="A125" s="7"/>
      <c r="B125" s="7"/>
      <c r="C125" s="30"/>
      <c r="D125" s="30"/>
      <c r="E125" s="30"/>
      <c r="F125" s="30"/>
      <c r="G125" s="30"/>
      <c r="H125" s="30"/>
      <c r="I125" s="7"/>
      <c r="J125" s="7"/>
      <c r="K125" s="7"/>
      <c r="L125" s="7"/>
      <c r="M125" s="7"/>
      <c r="N125" s="7"/>
      <c r="O125" s="7"/>
      <c r="P125" s="7"/>
      <c r="Q125" s="7"/>
      <c r="R125" s="7"/>
      <c r="S125" s="7"/>
      <c r="T125" s="7"/>
      <c r="U125" s="7"/>
      <c r="V125" s="7"/>
      <c r="W125" s="7"/>
      <c r="X125" s="7"/>
      <c r="Y125" s="7"/>
    </row>
    <row r="126" spans="1:25" ht="15.75" customHeight="1">
      <c r="A126" s="7"/>
      <c r="B126" s="7"/>
      <c r="C126" s="30"/>
      <c r="D126" s="30"/>
      <c r="E126" s="30"/>
      <c r="F126" s="30"/>
      <c r="G126" s="30"/>
      <c r="H126" s="30"/>
      <c r="I126" s="7"/>
      <c r="J126" s="7"/>
      <c r="K126" s="7"/>
      <c r="L126" s="7"/>
      <c r="M126" s="7"/>
      <c r="N126" s="7"/>
      <c r="O126" s="7"/>
      <c r="P126" s="7"/>
      <c r="Q126" s="7"/>
      <c r="R126" s="7"/>
      <c r="S126" s="7"/>
      <c r="T126" s="7"/>
      <c r="U126" s="7"/>
      <c r="V126" s="7"/>
      <c r="W126" s="7"/>
      <c r="X126" s="7"/>
      <c r="Y126" s="7"/>
    </row>
    <row r="127" spans="1:25" ht="15.75" customHeight="1">
      <c r="A127" s="7"/>
      <c r="B127" s="7"/>
      <c r="C127" s="30"/>
      <c r="D127" s="30"/>
      <c r="E127" s="30"/>
      <c r="F127" s="30"/>
      <c r="G127" s="30"/>
      <c r="H127" s="30"/>
      <c r="I127" s="7"/>
      <c r="J127" s="7"/>
      <c r="K127" s="7"/>
      <c r="L127" s="7"/>
      <c r="M127" s="7"/>
      <c r="N127" s="7"/>
      <c r="O127" s="7"/>
      <c r="P127" s="7"/>
      <c r="Q127" s="7"/>
      <c r="R127" s="7"/>
      <c r="S127" s="7"/>
      <c r="T127" s="7"/>
      <c r="U127" s="7"/>
      <c r="V127" s="7"/>
      <c r="W127" s="7"/>
      <c r="X127" s="7"/>
      <c r="Y127" s="7"/>
    </row>
    <row r="128" spans="1:25" ht="15.75" customHeight="1">
      <c r="A128" s="7"/>
      <c r="B128" s="7"/>
      <c r="C128" s="30"/>
      <c r="D128" s="30"/>
      <c r="E128" s="30"/>
      <c r="F128" s="30"/>
      <c r="G128" s="30"/>
      <c r="H128" s="30"/>
      <c r="I128" s="7"/>
      <c r="J128" s="7"/>
      <c r="K128" s="7"/>
      <c r="L128" s="7"/>
      <c r="M128" s="7"/>
      <c r="N128" s="7"/>
      <c r="O128" s="7"/>
      <c r="P128" s="7"/>
      <c r="Q128" s="7"/>
      <c r="R128" s="7"/>
      <c r="S128" s="7"/>
      <c r="T128" s="7"/>
      <c r="U128" s="7"/>
      <c r="V128" s="7"/>
      <c r="W128" s="7"/>
      <c r="X128" s="7"/>
      <c r="Y128" s="7"/>
    </row>
    <row r="129" spans="1:25" ht="15.75" customHeight="1">
      <c r="A129" s="7"/>
      <c r="B129" s="7"/>
      <c r="C129" s="30"/>
      <c r="D129" s="30"/>
      <c r="E129" s="30"/>
      <c r="F129" s="30"/>
      <c r="G129" s="30"/>
      <c r="H129" s="30"/>
      <c r="I129" s="7"/>
      <c r="J129" s="7"/>
      <c r="K129" s="7"/>
      <c r="L129" s="7"/>
      <c r="M129" s="7"/>
      <c r="N129" s="7"/>
      <c r="O129" s="7"/>
      <c r="P129" s="7"/>
      <c r="Q129" s="7"/>
      <c r="R129" s="7"/>
      <c r="S129" s="7"/>
      <c r="T129" s="7"/>
      <c r="U129" s="7"/>
      <c r="V129" s="7"/>
      <c r="W129" s="7"/>
      <c r="X129" s="7"/>
      <c r="Y129" s="7"/>
    </row>
    <row r="130" spans="1:25" ht="15.75" customHeight="1">
      <c r="A130" s="7"/>
      <c r="B130" s="7"/>
      <c r="C130" s="30"/>
      <c r="D130" s="30"/>
      <c r="E130" s="30"/>
      <c r="F130" s="30"/>
      <c r="G130" s="30"/>
      <c r="H130" s="30"/>
      <c r="I130" s="7"/>
      <c r="J130" s="7"/>
      <c r="K130" s="7"/>
      <c r="L130" s="7"/>
      <c r="M130" s="7"/>
      <c r="N130" s="7"/>
      <c r="O130" s="7"/>
      <c r="P130" s="7"/>
      <c r="Q130" s="7"/>
      <c r="R130" s="7"/>
      <c r="S130" s="7"/>
      <c r="T130" s="7"/>
      <c r="U130" s="7"/>
      <c r="V130" s="7"/>
      <c r="W130" s="7"/>
      <c r="X130" s="7"/>
      <c r="Y130" s="7"/>
    </row>
    <row r="131" spans="1:25" ht="15.75" customHeight="1">
      <c r="A131" s="7"/>
      <c r="B131" s="7"/>
      <c r="C131" s="30"/>
      <c r="D131" s="30"/>
      <c r="E131" s="30"/>
      <c r="F131" s="30"/>
      <c r="G131" s="30"/>
      <c r="H131" s="30"/>
      <c r="I131" s="7"/>
      <c r="J131" s="7"/>
      <c r="K131" s="7"/>
      <c r="L131" s="7"/>
      <c r="M131" s="7"/>
      <c r="N131" s="7"/>
      <c r="O131" s="7"/>
      <c r="P131" s="7"/>
      <c r="Q131" s="7"/>
      <c r="R131" s="7"/>
      <c r="S131" s="7"/>
      <c r="T131" s="7"/>
      <c r="U131" s="7"/>
      <c r="V131" s="7"/>
      <c r="W131" s="7"/>
      <c r="X131" s="7"/>
      <c r="Y131" s="7"/>
    </row>
    <row r="132" spans="1:25" ht="15.75" customHeight="1">
      <c r="A132" s="7"/>
      <c r="B132" s="7"/>
      <c r="C132" s="30"/>
      <c r="D132" s="30"/>
      <c r="E132" s="30"/>
      <c r="F132" s="30"/>
      <c r="G132" s="30"/>
      <c r="H132" s="30"/>
      <c r="I132" s="7"/>
      <c r="J132" s="7"/>
      <c r="K132" s="7"/>
      <c r="L132" s="7"/>
      <c r="M132" s="7"/>
      <c r="N132" s="7"/>
      <c r="O132" s="7"/>
      <c r="P132" s="7"/>
      <c r="Q132" s="7"/>
      <c r="R132" s="7"/>
      <c r="S132" s="7"/>
      <c r="T132" s="7"/>
      <c r="U132" s="7"/>
      <c r="V132" s="7"/>
      <c r="W132" s="7"/>
      <c r="X132" s="7"/>
      <c r="Y132" s="7"/>
    </row>
    <row r="133" spans="1:25" ht="15.75" customHeight="1">
      <c r="A133" s="7"/>
      <c r="B133" s="7"/>
      <c r="C133" s="30"/>
      <c r="D133" s="30"/>
      <c r="E133" s="30"/>
      <c r="F133" s="30"/>
      <c r="G133" s="30"/>
      <c r="H133" s="30"/>
      <c r="I133" s="7"/>
      <c r="J133" s="7"/>
      <c r="K133" s="7"/>
      <c r="L133" s="7"/>
      <c r="M133" s="7"/>
      <c r="N133" s="7"/>
      <c r="O133" s="7"/>
      <c r="P133" s="7"/>
      <c r="Q133" s="7"/>
      <c r="R133" s="7"/>
      <c r="S133" s="7"/>
      <c r="T133" s="7"/>
      <c r="U133" s="7"/>
      <c r="V133" s="7"/>
      <c r="W133" s="7"/>
      <c r="X133" s="7"/>
      <c r="Y133" s="7"/>
    </row>
    <row r="134" spans="1:25" ht="15.75" customHeight="1">
      <c r="A134" s="7"/>
      <c r="B134" s="7"/>
      <c r="C134" s="30"/>
      <c r="D134" s="30"/>
      <c r="E134" s="30"/>
      <c r="F134" s="30"/>
      <c r="G134" s="30"/>
      <c r="H134" s="30"/>
      <c r="I134" s="7"/>
      <c r="J134" s="7"/>
      <c r="K134" s="7"/>
      <c r="L134" s="7"/>
      <c r="M134" s="7"/>
      <c r="N134" s="7"/>
      <c r="O134" s="7"/>
      <c r="P134" s="7"/>
      <c r="Q134" s="7"/>
      <c r="R134" s="7"/>
      <c r="S134" s="7"/>
      <c r="T134" s="7"/>
      <c r="U134" s="7"/>
      <c r="V134" s="7"/>
      <c r="W134" s="7"/>
      <c r="X134" s="7"/>
      <c r="Y134" s="7"/>
    </row>
    <row r="135" spans="1:25" ht="15.75" customHeight="1">
      <c r="A135" s="7"/>
      <c r="B135" s="7"/>
      <c r="C135" s="30"/>
      <c r="D135" s="30"/>
      <c r="E135" s="30"/>
      <c r="F135" s="30"/>
      <c r="G135" s="30"/>
      <c r="H135" s="30"/>
      <c r="I135" s="7"/>
      <c r="J135" s="7"/>
      <c r="K135" s="7"/>
      <c r="L135" s="7"/>
      <c r="M135" s="7"/>
      <c r="N135" s="7"/>
      <c r="O135" s="7"/>
      <c r="P135" s="7"/>
      <c r="Q135" s="7"/>
      <c r="R135" s="7"/>
      <c r="S135" s="7"/>
      <c r="T135" s="7"/>
      <c r="U135" s="7"/>
      <c r="V135" s="7"/>
      <c r="W135" s="7"/>
      <c r="X135" s="7"/>
      <c r="Y135" s="7"/>
    </row>
    <row r="136" spans="1:25" ht="15.75" customHeight="1">
      <c r="A136" s="7"/>
      <c r="B136" s="7"/>
      <c r="C136" s="30"/>
      <c r="D136" s="30"/>
      <c r="E136" s="30"/>
      <c r="F136" s="30"/>
      <c r="G136" s="30"/>
      <c r="H136" s="30"/>
      <c r="I136" s="7"/>
      <c r="J136" s="7"/>
      <c r="K136" s="7"/>
      <c r="L136" s="7"/>
      <c r="M136" s="7"/>
      <c r="N136" s="7"/>
      <c r="O136" s="7"/>
      <c r="P136" s="7"/>
      <c r="Q136" s="7"/>
      <c r="R136" s="7"/>
      <c r="S136" s="7"/>
      <c r="T136" s="7"/>
      <c r="U136" s="7"/>
      <c r="V136" s="7"/>
      <c r="W136" s="7"/>
      <c r="X136" s="7"/>
      <c r="Y136" s="7"/>
    </row>
    <row r="137" spans="1:25" ht="15.75" customHeight="1">
      <c r="A137" s="7"/>
      <c r="B137" s="7"/>
      <c r="C137" s="30"/>
      <c r="D137" s="30"/>
      <c r="E137" s="30"/>
      <c r="F137" s="30"/>
      <c r="G137" s="30"/>
      <c r="H137" s="30"/>
      <c r="I137" s="7"/>
      <c r="J137" s="7"/>
      <c r="K137" s="7"/>
      <c r="L137" s="7"/>
      <c r="M137" s="7"/>
      <c r="N137" s="7"/>
      <c r="O137" s="7"/>
      <c r="P137" s="7"/>
      <c r="Q137" s="7"/>
      <c r="R137" s="7"/>
      <c r="S137" s="7"/>
      <c r="T137" s="7"/>
      <c r="U137" s="7"/>
      <c r="V137" s="7"/>
      <c r="W137" s="7"/>
      <c r="X137" s="7"/>
      <c r="Y137" s="7"/>
    </row>
    <row r="138" spans="1:25" ht="15.75" customHeight="1">
      <c r="A138" s="7"/>
      <c r="B138" s="7"/>
      <c r="C138" s="30"/>
      <c r="D138" s="30"/>
      <c r="E138" s="30"/>
      <c r="F138" s="30"/>
      <c r="G138" s="30"/>
      <c r="H138" s="30"/>
      <c r="I138" s="7"/>
      <c r="J138" s="7"/>
      <c r="K138" s="7"/>
      <c r="L138" s="7"/>
      <c r="M138" s="7"/>
      <c r="N138" s="7"/>
      <c r="O138" s="7"/>
      <c r="P138" s="7"/>
      <c r="Q138" s="7"/>
      <c r="R138" s="7"/>
      <c r="S138" s="7"/>
      <c r="T138" s="7"/>
      <c r="U138" s="7"/>
      <c r="V138" s="7"/>
      <c r="W138" s="7"/>
      <c r="X138" s="7"/>
      <c r="Y138" s="7"/>
    </row>
    <row r="139" spans="1:25" ht="15.75" customHeight="1">
      <c r="A139" s="7"/>
      <c r="B139" s="7"/>
      <c r="C139" s="30"/>
      <c r="D139" s="30"/>
      <c r="E139" s="30"/>
      <c r="F139" s="30"/>
      <c r="G139" s="30"/>
      <c r="H139" s="30"/>
      <c r="I139" s="7"/>
      <c r="J139" s="7"/>
      <c r="K139" s="7"/>
      <c r="L139" s="7"/>
      <c r="M139" s="7"/>
      <c r="N139" s="7"/>
      <c r="O139" s="7"/>
      <c r="P139" s="7"/>
      <c r="Q139" s="7"/>
      <c r="R139" s="7"/>
      <c r="S139" s="7"/>
      <c r="T139" s="7"/>
      <c r="U139" s="7"/>
      <c r="V139" s="7"/>
      <c r="W139" s="7"/>
      <c r="X139" s="7"/>
      <c r="Y139" s="7"/>
    </row>
    <row r="140" spans="1:25" ht="15.75" customHeight="1">
      <c r="A140" s="7"/>
      <c r="B140" s="7"/>
      <c r="C140" s="30"/>
      <c r="D140" s="30"/>
      <c r="E140" s="30"/>
      <c r="F140" s="30"/>
      <c r="G140" s="30"/>
      <c r="H140" s="30"/>
      <c r="I140" s="7"/>
      <c r="J140" s="7"/>
      <c r="K140" s="7"/>
      <c r="L140" s="7"/>
      <c r="M140" s="7"/>
      <c r="N140" s="7"/>
      <c r="O140" s="7"/>
      <c r="P140" s="7"/>
      <c r="Q140" s="7"/>
      <c r="R140" s="7"/>
      <c r="S140" s="7"/>
      <c r="T140" s="7"/>
      <c r="U140" s="7"/>
      <c r="V140" s="7"/>
      <c r="W140" s="7"/>
      <c r="X140" s="7"/>
      <c r="Y140" s="7"/>
    </row>
    <row r="141" spans="1:25" ht="15.75" customHeight="1">
      <c r="A141" s="7"/>
      <c r="B141" s="7"/>
      <c r="C141" s="30"/>
      <c r="D141" s="30"/>
      <c r="E141" s="30"/>
      <c r="F141" s="30"/>
      <c r="G141" s="30"/>
      <c r="H141" s="30"/>
      <c r="I141" s="7"/>
      <c r="J141" s="7"/>
      <c r="K141" s="7"/>
      <c r="L141" s="7"/>
      <c r="M141" s="7"/>
      <c r="N141" s="7"/>
      <c r="O141" s="7"/>
      <c r="P141" s="7"/>
      <c r="Q141" s="7"/>
      <c r="R141" s="7"/>
      <c r="S141" s="7"/>
      <c r="T141" s="7"/>
      <c r="U141" s="7"/>
      <c r="V141" s="7"/>
      <c r="W141" s="7"/>
      <c r="X141" s="7"/>
      <c r="Y141" s="7"/>
    </row>
    <row r="142" spans="1:25" ht="15.75" customHeight="1">
      <c r="A142" s="7"/>
      <c r="B142" s="7"/>
      <c r="C142" s="30"/>
      <c r="D142" s="30"/>
      <c r="E142" s="30"/>
      <c r="F142" s="30"/>
      <c r="G142" s="30"/>
      <c r="H142" s="30"/>
      <c r="I142" s="7"/>
      <c r="J142" s="7"/>
      <c r="K142" s="7"/>
      <c r="L142" s="7"/>
      <c r="M142" s="7"/>
      <c r="N142" s="7"/>
      <c r="O142" s="7"/>
      <c r="P142" s="7"/>
      <c r="Q142" s="7"/>
      <c r="R142" s="7"/>
      <c r="S142" s="7"/>
      <c r="T142" s="7"/>
      <c r="U142" s="7"/>
      <c r="V142" s="7"/>
      <c r="W142" s="7"/>
      <c r="X142" s="7"/>
      <c r="Y142" s="7"/>
    </row>
    <row r="143" spans="1:25" ht="15.75" customHeight="1">
      <c r="A143" s="7"/>
      <c r="B143" s="7"/>
      <c r="C143" s="30"/>
      <c r="D143" s="30"/>
      <c r="E143" s="30"/>
      <c r="F143" s="30"/>
      <c r="G143" s="30"/>
      <c r="H143" s="30"/>
      <c r="I143" s="7"/>
      <c r="J143" s="7"/>
      <c r="K143" s="7"/>
      <c r="L143" s="7"/>
      <c r="M143" s="7"/>
      <c r="N143" s="7"/>
      <c r="O143" s="7"/>
      <c r="P143" s="7"/>
      <c r="Q143" s="7"/>
      <c r="R143" s="7"/>
      <c r="S143" s="7"/>
      <c r="T143" s="7"/>
      <c r="U143" s="7"/>
      <c r="V143" s="7"/>
      <c r="W143" s="7"/>
      <c r="X143" s="7"/>
      <c r="Y143" s="7"/>
    </row>
    <row r="144" spans="1:25" ht="15.75" customHeight="1">
      <c r="A144" s="7"/>
      <c r="B144" s="7"/>
      <c r="C144" s="30"/>
      <c r="D144" s="30"/>
      <c r="E144" s="30"/>
      <c r="F144" s="30"/>
      <c r="G144" s="30"/>
      <c r="H144" s="30"/>
      <c r="I144" s="7"/>
      <c r="J144" s="7"/>
      <c r="K144" s="7"/>
      <c r="L144" s="7"/>
      <c r="M144" s="7"/>
      <c r="N144" s="7"/>
      <c r="O144" s="7"/>
      <c r="P144" s="7"/>
      <c r="Q144" s="7"/>
      <c r="R144" s="7"/>
      <c r="S144" s="7"/>
      <c r="T144" s="7"/>
      <c r="U144" s="7"/>
      <c r="V144" s="7"/>
      <c r="W144" s="7"/>
      <c r="X144" s="7"/>
      <c r="Y144" s="7"/>
    </row>
    <row r="145" spans="1:25" ht="15.75" customHeight="1">
      <c r="A145" s="7"/>
      <c r="B145" s="7"/>
      <c r="C145" s="30"/>
      <c r="D145" s="30"/>
      <c r="E145" s="30"/>
      <c r="F145" s="30"/>
      <c r="G145" s="30"/>
      <c r="H145" s="30"/>
      <c r="I145" s="7"/>
      <c r="J145" s="7"/>
      <c r="K145" s="7"/>
      <c r="L145" s="7"/>
      <c r="M145" s="7"/>
      <c r="N145" s="7"/>
      <c r="O145" s="7"/>
      <c r="P145" s="7"/>
      <c r="Q145" s="7"/>
      <c r="R145" s="7"/>
      <c r="S145" s="7"/>
      <c r="T145" s="7"/>
      <c r="U145" s="7"/>
      <c r="V145" s="7"/>
      <c r="W145" s="7"/>
      <c r="X145" s="7"/>
      <c r="Y145" s="7"/>
    </row>
    <row r="146" spans="1:25" ht="15.75" customHeight="1">
      <c r="A146" s="7"/>
      <c r="B146" s="7"/>
      <c r="C146" s="30"/>
      <c r="D146" s="30"/>
      <c r="E146" s="30"/>
      <c r="F146" s="30"/>
      <c r="G146" s="30"/>
      <c r="H146" s="30"/>
      <c r="I146" s="7"/>
      <c r="J146" s="7"/>
      <c r="K146" s="7"/>
      <c r="L146" s="7"/>
      <c r="M146" s="7"/>
      <c r="N146" s="7"/>
      <c r="O146" s="7"/>
      <c r="P146" s="7"/>
      <c r="Q146" s="7"/>
      <c r="R146" s="7"/>
      <c r="S146" s="7"/>
      <c r="T146" s="7"/>
      <c r="U146" s="7"/>
      <c r="V146" s="7"/>
      <c r="W146" s="7"/>
      <c r="X146" s="7"/>
      <c r="Y146" s="7"/>
    </row>
    <row r="147" spans="1:25" ht="15.75" customHeight="1">
      <c r="A147" s="7"/>
      <c r="B147" s="7"/>
      <c r="C147" s="30"/>
      <c r="D147" s="30"/>
      <c r="E147" s="30"/>
      <c r="F147" s="30"/>
      <c r="G147" s="30"/>
      <c r="H147" s="30"/>
      <c r="I147" s="7"/>
      <c r="J147" s="7"/>
      <c r="K147" s="7"/>
      <c r="L147" s="7"/>
      <c r="M147" s="7"/>
      <c r="N147" s="7"/>
      <c r="O147" s="7"/>
      <c r="P147" s="7"/>
      <c r="Q147" s="7"/>
      <c r="R147" s="7"/>
      <c r="S147" s="7"/>
      <c r="T147" s="7"/>
      <c r="U147" s="7"/>
      <c r="V147" s="7"/>
      <c r="W147" s="7"/>
      <c r="X147" s="7"/>
      <c r="Y147" s="7"/>
    </row>
    <row r="148" spans="1:25" ht="15.75" customHeight="1">
      <c r="A148" s="7"/>
      <c r="B148" s="7"/>
      <c r="C148" s="30"/>
      <c r="D148" s="30"/>
      <c r="E148" s="30"/>
      <c r="F148" s="30"/>
      <c r="G148" s="30"/>
      <c r="H148" s="30"/>
      <c r="I148" s="7"/>
      <c r="J148" s="7"/>
      <c r="K148" s="7"/>
      <c r="L148" s="7"/>
      <c r="M148" s="7"/>
      <c r="N148" s="7"/>
      <c r="O148" s="7"/>
      <c r="P148" s="7"/>
      <c r="Q148" s="7"/>
      <c r="R148" s="7"/>
      <c r="S148" s="7"/>
      <c r="T148" s="7"/>
      <c r="U148" s="7"/>
      <c r="V148" s="7"/>
      <c r="W148" s="7"/>
      <c r="X148" s="7"/>
      <c r="Y148" s="7"/>
    </row>
    <row r="149" spans="1:25" ht="15.75" customHeight="1">
      <c r="A149" s="7"/>
      <c r="B149" s="7"/>
      <c r="C149" s="30"/>
      <c r="D149" s="30"/>
      <c r="E149" s="30"/>
      <c r="F149" s="30"/>
      <c r="G149" s="30"/>
      <c r="H149" s="30"/>
      <c r="I149" s="7"/>
      <c r="J149" s="7"/>
      <c r="K149" s="7"/>
      <c r="L149" s="7"/>
      <c r="M149" s="7"/>
      <c r="N149" s="7"/>
      <c r="O149" s="7"/>
      <c r="P149" s="7"/>
      <c r="Q149" s="7"/>
      <c r="R149" s="7"/>
      <c r="S149" s="7"/>
      <c r="T149" s="7"/>
      <c r="U149" s="7"/>
      <c r="V149" s="7"/>
      <c r="W149" s="7"/>
      <c r="X149" s="7"/>
      <c r="Y149" s="7"/>
    </row>
    <row r="150" spans="1:25" ht="15.75" customHeight="1">
      <c r="A150" s="7"/>
      <c r="B150" s="7"/>
      <c r="C150" s="30"/>
      <c r="D150" s="30"/>
      <c r="E150" s="30"/>
      <c r="F150" s="30"/>
      <c r="G150" s="30"/>
      <c r="H150" s="30"/>
      <c r="I150" s="7"/>
      <c r="J150" s="7"/>
      <c r="K150" s="7"/>
      <c r="L150" s="7"/>
      <c r="M150" s="7"/>
      <c r="N150" s="7"/>
      <c r="O150" s="7"/>
      <c r="P150" s="7"/>
      <c r="Q150" s="7"/>
      <c r="R150" s="7"/>
      <c r="S150" s="7"/>
      <c r="T150" s="7"/>
      <c r="U150" s="7"/>
      <c r="V150" s="7"/>
      <c r="W150" s="7"/>
      <c r="X150" s="7"/>
      <c r="Y150" s="7"/>
    </row>
    <row r="151" spans="1:25" ht="15.75" customHeight="1">
      <c r="A151" s="7"/>
      <c r="B151" s="7"/>
      <c r="C151" s="30"/>
      <c r="D151" s="30"/>
      <c r="E151" s="30"/>
      <c r="F151" s="30"/>
      <c r="G151" s="30"/>
      <c r="H151" s="30"/>
      <c r="I151" s="7"/>
      <c r="J151" s="7"/>
      <c r="K151" s="7"/>
      <c r="L151" s="7"/>
      <c r="M151" s="7"/>
      <c r="N151" s="7"/>
      <c r="O151" s="7"/>
      <c r="P151" s="7"/>
      <c r="Q151" s="7"/>
      <c r="R151" s="7"/>
      <c r="S151" s="7"/>
      <c r="T151" s="7"/>
      <c r="U151" s="7"/>
      <c r="V151" s="7"/>
      <c r="W151" s="7"/>
      <c r="X151" s="7"/>
      <c r="Y151" s="7"/>
    </row>
    <row r="152" spans="1:25" ht="15.75" customHeight="1">
      <c r="A152" s="7"/>
      <c r="B152" s="7"/>
      <c r="C152" s="30"/>
      <c r="D152" s="30"/>
      <c r="E152" s="30"/>
      <c r="F152" s="30"/>
      <c r="G152" s="30"/>
      <c r="H152" s="30"/>
      <c r="I152" s="7"/>
      <c r="J152" s="7"/>
      <c r="K152" s="7"/>
      <c r="L152" s="7"/>
      <c r="M152" s="7"/>
      <c r="N152" s="7"/>
      <c r="O152" s="7"/>
      <c r="P152" s="7"/>
      <c r="Q152" s="7"/>
      <c r="R152" s="7"/>
      <c r="S152" s="7"/>
      <c r="T152" s="7"/>
      <c r="U152" s="7"/>
      <c r="V152" s="7"/>
      <c r="W152" s="7"/>
      <c r="X152" s="7"/>
      <c r="Y152" s="7"/>
    </row>
    <row r="153" spans="1:25" ht="15.75" customHeight="1">
      <c r="A153" s="7"/>
      <c r="B153" s="7"/>
      <c r="C153" s="30"/>
      <c r="D153" s="30"/>
      <c r="E153" s="30"/>
      <c r="F153" s="30"/>
      <c r="G153" s="30"/>
      <c r="H153" s="30"/>
      <c r="I153" s="7"/>
      <c r="J153" s="7"/>
      <c r="K153" s="7"/>
      <c r="L153" s="7"/>
      <c r="M153" s="7"/>
      <c r="N153" s="7"/>
      <c r="O153" s="7"/>
      <c r="P153" s="7"/>
      <c r="Q153" s="7"/>
      <c r="R153" s="7"/>
      <c r="S153" s="7"/>
      <c r="T153" s="7"/>
      <c r="U153" s="7"/>
      <c r="V153" s="7"/>
      <c r="W153" s="7"/>
      <c r="X153" s="7"/>
      <c r="Y153" s="7"/>
    </row>
    <row r="154" spans="1:25" ht="15.75" customHeight="1">
      <c r="A154" s="7"/>
      <c r="B154" s="7"/>
      <c r="C154" s="30"/>
      <c r="D154" s="30"/>
      <c r="E154" s="30"/>
      <c r="F154" s="30"/>
      <c r="G154" s="30"/>
      <c r="H154" s="30"/>
      <c r="I154" s="7"/>
      <c r="J154" s="7"/>
      <c r="K154" s="7"/>
      <c r="L154" s="7"/>
      <c r="M154" s="7"/>
      <c r="N154" s="7"/>
      <c r="O154" s="7"/>
      <c r="P154" s="7"/>
      <c r="Q154" s="7"/>
      <c r="R154" s="7"/>
      <c r="S154" s="7"/>
      <c r="T154" s="7"/>
      <c r="U154" s="7"/>
      <c r="V154" s="7"/>
      <c r="W154" s="7"/>
      <c r="X154" s="7"/>
      <c r="Y154" s="7"/>
    </row>
    <row r="155" spans="1:25" ht="15.75" customHeight="1">
      <c r="A155" s="7"/>
      <c r="B155" s="7"/>
      <c r="C155" s="30"/>
      <c r="D155" s="30"/>
      <c r="E155" s="30"/>
      <c r="F155" s="30"/>
      <c r="G155" s="30"/>
      <c r="H155" s="30"/>
      <c r="I155" s="7"/>
      <c r="J155" s="7"/>
      <c r="K155" s="7"/>
      <c r="L155" s="7"/>
      <c r="M155" s="7"/>
      <c r="N155" s="7"/>
      <c r="O155" s="7"/>
      <c r="P155" s="7"/>
      <c r="Q155" s="7"/>
      <c r="R155" s="7"/>
      <c r="S155" s="7"/>
      <c r="T155" s="7"/>
      <c r="U155" s="7"/>
      <c r="V155" s="7"/>
      <c r="W155" s="7"/>
      <c r="X155" s="7"/>
      <c r="Y155" s="7"/>
    </row>
    <row r="156" spans="1:25" ht="15.75" customHeight="1">
      <c r="A156" s="7"/>
      <c r="B156" s="7"/>
      <c r="C156" s="30"/>
      <c r="D156" s="30"/>
      <c r="E156" s="30"/>
      <c r="F156" s="30"/>
      <c r="G156" s="30"/>
      <c r="H156" s="30"/>
      <c r="I156" s="7"/>
      <c r="J156" s="7"/>
      <c r="K156" s="7"/>
      <c r="L156" s="7"/>
      <c r="M156" s="7"/>
      <c r="N156" s="7"/>
      <c r="O156" s="7"/>
      <c r="P156" s="7"/>
      <c r="Q156" s="7"/>
      <c r="R156" s="7"/>
      <c r="S156" s="7"/>
      <c r="T156" s="7"/>
      <c r="U156" s="7"/>
      <c r="V156" s="7"/>
      <c r="W156" s="7"/>
      <c r="X156" s="7"/>
      <c r="Y156" s="7"/>
    </row>
    <row r="157" spans="1:25" ht="15.75" customHeight="1">
      <c r="A157" s="7"/>
      <c r="B157" s="7"/>
      <c r="C157" s="30"/>
      <c r="D157" s="30"/>
      <c r="E157" s="30"/>
      <c r="F157" s="30"/>
      <c r="G157" s="30"/>
      <c r="H157" s="30"/>
      <c r="I157" s="7"/>
      <c r="J157" s="7"/>
      <c r="K157" s="7"/>
      <c r="L157" s="7"/>
      <c r="M157" s="7"/>
      <c r="N157" s="7"/>
      <c r="O157" s="7"/>
      <c r="P157" s="7"/>
      <c r="Q157" s="7"/>
      <c r="R157" s="7"/>
      <c r="S157" s="7"/>
      <c r="T157" s="7"/>
      <c r="U157" s="7"/>
      <c r="V157" s="7"/>
      <c r="W157" s="7"/>
      <c r="X157" s="7"/>
      <c r="Y157" s="7"/>
    </row>
    <row r="158" spans="1:25" ht="15.75" customHeight="1">
      <c r="A158" s="7"/>
      <c r="B158" s="7"/>
      <c r="C158" s="30"/>
      <c r="D158" s="30"/>
      <c r="E158" s="30"/>
      <c r="F158" s="30"/>
      <c r="G158" s="30"/>
      <c r="H158" s="30"/>
      <c r="I158" s="7"/>
      <c r="J158" s="7"/>
      <c r="K158" s="7"/>
      <c r="L158" s="7"/>
      <c r="M158" s="7"/>
      <c r="N158" s="7"/>
      <c r="O158" s="7"/>
      <c r="P158" s="7"/>
      <c r="Q158" s="7"/>
      <c r="R158" s="7"/>
      <c r="S158" s="7"/>
      <c r="T158" s="7"/>
      <c r="U158" s="7"/>
      <c r="V158" s="7"/>
      <c r="W158" s="7"/>
      <c r="X158" s="7"/>
      <c r="Y158" s="7"/>
    </row>
    <row r="159" spans="1:25" ht="15.75" customHeight="1">
      <c r="A159" s="7"/>
      <c r="B159" s="7"/>
      <c r="C159" s="30"/>
      <c r="D159" s="30"/>
      <c r="E159" s="30"/>
      <c r="F159" s="30"/>
      <c r="G159" s="30"/>
      <c r="H159" s="30"/>
      <c r="I159" s="7"/>
      <c r="J159" s="7"/>
      <c r="K159" s="7"/>
      <c r="L159" s="7"/>
      <c r="M159" s="7"/>
      <c r="N159" s="7"/>
      <c r="O159" s="7"/>
      <c r="P159" s="7"/>
      <c r="Q159" s="7"/>
      <c r="R159" s="7"/>
      <c r="S159" s="7"/>
      <c r="T159" s="7"/>
      <c r="U159" s="7"/>
      <c r="V159" s="7"/>
      <c r="W159" s="7"/>
      <c r="X159" s="7"/>
      <c r="Y159" s="7"/>
    </row>
    <row r="160" spans="1:25" ht="15.75" customHeight="1">
      <c r="A160" s="7"/>
      <c r="B160" s="7"/>
      <c r="C160" s="30"/>
      <c r="D160" s="30"/>
      <c r="E160" s="30"/>
      <c r="F160" s="30"/>
      <c r="G160" s="30"/>
      <c r="H160" s="30"/>
      <c r="I160" s="7"/>
      <c r="J160" s="7"/>
      <c r="K160" s="7"/>
      <c r="L160" s="7"/>
      <c r="M160" s="7"/>
      <c r="N160" s="7"/>
      <c r="O160" s="7"/>
      <c r="P160" s="7"/>
      <c r="Q160" s="7"/>
      <c r="R160" s="7"/>
      <c r="S160" s="7"/>
      <c r="T160" s="7"/>
      <c r="U160" s="7"/>
      <c r="V160" s="7"/>
      <c r="W160" s="7"/>
      <c r="X160" s="7"/>
      <c r="Y160" s="7"/>
    </row>
    <row r="161" spans="1:25" ht="15.75" customHeight="1">
      <c r="A161" s="7"/>
      <c r="B161" s="7"/>
      <c r="C161" s="30"/>
      <c r="D161" s="30"/>
      <c r="E161" s="30"/>
      <c r="F161" s="30"/>
      <c r="G161" s="30"/>
      <c r="H161" s="30"/>
      <c r="I161" s="7"/>
      <c r="J161" s="7"/>
      <c r="K161" s="7"/>
      <c r="L161" s="7"/>
      <c r="M161" s="7"/>
      <c r="N161" s="7"/>
      <c r="O161" s="7"/>
      <c r="P161" s="7"/>
      <c r="Q161" s="7"/>
      <c r="R161" s="7"/>
      <c r="S161" s="7"/>
      <c r="T161" s="7"/>
      <c r="U161" s="7"/>
      <c r="V161" s="7"/>
      <c r="W161" s="7"/>
      <c r="X161" s="7"/>
      <c r="Y161" s="7"/>
    </row>
    <row r="162" spans="1:25" ht="15.75" customHeight="1">
      <c r="A162" s="7"/>
      <c r="B162" s="7"/>
      <c r="C162" s="30"/>
      <c r="D162" s="30"/>
      <c r="E162" s="30"/>
      <c r="F162" s="30"/>
      <c r="G162" s="30"/>
      <c r="H162" s="30"/>
      <c r="I162" s="7"/>
      <c r="J162" s="7"/>
      <c r="K162" s="7"/>
      <c r="L162" s="7"/>
      <c r="M162" s="7"/>
      <c r="N162" s="7"/>
      <c r="O162" s="7"/>
      <c r="P162" s="7"/>
      <c r="Q162" s="7"/>
      <c r="R162" s="7"/>
      <c r="S162" s="7"/>
      <c r="T162" s="7"/>
      <c r="U162" s="7"/>
      <c r="V162" s="7"/>
      <c r="W162" s="7"/>
      <c r="X162" s="7"/>
      <c r="Y162" s="7"/>
    </row>
    <row r="163" spans="1:25" ht="15.75" customHeight="1">
      <c r="A163" s="7"/>
      <c r="B163" s="7"/>
      <c r="C163" s="30"/>
      <c r="D163" s="30"/>
      <c r="E163" s="30"/>
      <c r="F163" s="30"/>
      <c r="G163" s="30"/>
      <c r="H163" s="30"/>
      <c r="I163" s="7"/>
      <c r="J163" s="7"/>
      <c r="K163" s="7"/>
      <c r="L163" s="7"/>
      <c r="M163" s="7"/>
      <c r="N163" s="7"/>
      <c r="O163" s="7"/>
      <c r="P163" s="7"/>
      <c r="Q163" s="7"/>
      <c r="R163" s="7"/>
      <c r="S163" s="7"/>
      <c r="T163" s="7"/>
      <c r="U163" s="7"/>
      <c r="V163" s="7"/>
      <c r="W163" s="7"/>
      <c r="X163" s="7"/>
      <c r="Y163" s="7"/>
    </row>
    <row r="164" spans="1:25" ht="15.75" customHeight="1">
      <c r="A164" s="7"/>
      <c r="B164" s="7"/>
      <c r="C164" s="30"/>
      <c r="D164" s="30"/>
      <c r="E164" s="30"/>
      <c r="F164" s="30"/>
      <c r="G164" s="30"/>
      <c r="H164" s="30"/>
      <c r="I164" s="7"/>
      <c r="J164" s="7"/>
      <c r="K164" s="7"/>
      <c r="L164" s="7"/>
      <c r="M164" s="7"/>
      <c r="N164" s="7"/>
      <c r="O164" s="7"/>
      <c r="P164" s="7"/>
      <c r="Q164" s="7"/>
      <c r="R164" s="7"/>
      <c r="S164" s="7"/>
      <c r="T164" s="7"/>
      <c r="U164" s="7"/>
      <c r="V164" s="7"/>
      <c r="W164" s="7"/>
      <c r="X164" s="7"/>
      <c r="Y164" s="7"/>
    </row>
    <row r="165" spans="1:25" ht="15.75" customHeight="1">
      <c r="A165" s="7"/>
      <c r="B165" s="7"/>
      <c r="C165" s="30"/>
      <c r="D165" s="30"/>
      <c r="E165" s="30"/>
      <c r="F165" s="30"/>
      <c r="G165" s="30"/>
      <c r="H165" s="30"/>
      <c r="I165" s="7"/>
      <c r="J165" s="7"/>
      <c r="K165" s="7"/>
      <c r="L165" s="7"/>
      <c r="M165" s="7"/>
      <c r="N165" s="7"/>
      <c r="O165" s="7"/>
      <c r="P165" s="7"/>
      <c r="Q165" s="7"/>
      <c r="R165" s="7"/>
      <c r="S165" s="7"/>
      <c r="T165" s="7"/>
      <c r="U165" s="7"/>
      <c r="V165" s="7"/>
      <c r="W165" s="7"/>
      <c r="X165" s="7"/>
      <c r="Y165" s="7"/>
    </row>
    <row r="166" spans="1:25" ht="15.75" customHeight="1">
      <c r="A166" s="7"/>
      <c r="B166" s="7"/>
      <c r="C166" s="30"/>
      <c r="D166" s="30"/>
      <c r="E166" s="30"/>
      <c r="F166" s="30"/>
      <c r="G166" s="30"/>
      <c r="H166" s="30"/>
      <c r="I166" s="7"/>
      <c r="J166" s="7"/>
      <c r="K166" s="7"/>
      <c r="L166" s="7"/>
      <c r="M166" s="7"/>
      <c r="N166" s="7"/>
      <c r="O166" s="7"/>
      <c r="P166" s="7"/>
      <c r="Q166" s="7"/>
      <c r="R166" s="7"/>
      <c r="S166" s="7"/>
      <c r="T166" s="7"/>
      <c r="U166" s="7"/>
      <c r="V166" s="7"/>
      <c r="W166" s="7"/>
      <c r="X166" s="7"/>
      <c r="Y166" s="7"/>
    </row>
    <row r="167" spans="1:25" ht="15.75" customHeight="1">
      <c r="A167" s="7"/>
      <c r="B167" s="7"/>
      <c r="C167" s="30"/>
      <c r="D167" s="30"/>
      <c r="E167" s="30"/>
      <c r="F167" s="30"/>
      <c r="G167" s="30"/>
      <c r="H167" s="30"/>
      <c r="I167" s="7"/>
      <c r="J167" s="7"/>
      <c r="K167" s="7"/>
      <c r="L167" s="7"/>
      <c r="M167" s="7"/>
      <c r="N167" s="7"/>
      <c r="O167" s="7"/>
      <c r="P167" s="7"/>
      <c r="Q167" s="7"/>
      <c r="R167" s="7"/>
      <c r="S167" s="7"/>
      <c r="T167" s="7"/>
      <c r="U167" s="7"/>
      <c r="V167" s="7"/>
      <c r="W167" s="7"/>
      <c r="X167" s="7"/>
      <c r="Y167" s="7"/>
    </row>
    <row r="168" spans="1:25" ht="15.75" customHeight="1">
      <c r="A168" s="7"/>
      <c r="B168" s="7"/>
      <c r="C168" s="30"/>
      <c r="D168" s="30"/>
      <c r="E168" s="30"/>
      <c r="F168" s="30"/>
      <c r="G168" s="30"/>
      <c r="H168" s="30"/>
      <c r="I168" s="7"/>
      <c r="J168" s="7"/>
      <c r="K168" s="7"/>
      <c r="L168" s="7"/>
      <c r="M168" s="7"/>
      <c r="N168" s="7"/>
      <c r="O168" s="7"/>
      <c r="P168" s="7"/>
      <c r="Q168" s="7"/>
      <c r="R168" s="7"/>
      <c r="S168" s="7"/>
      <c r="T168" s="7"/>
      <c r="U168" s="7"/>
      <c r="V168" s="7"/>
      <c r="W168" s="7"/>
      <c r="X168" s="7"/>
      <c r="Y168" s="7"/>
    </row>
    <row r="169" spans="1:25" ht="15.75" customHeight="1">
      <c r="A169" s="7"/>
      <c r="B169" s="7"/>
      <c r="C169" s="30"/>
      <c r="D169" s="30"/>
      <c r="E169" s="30"/>
      <c r="F169" s="30"/>
      <c r="G169" s="30"/>
      <c r="H169" s="30"/>
      <c r="I169" s="7"/>
      <c r="J169" s="7"/>
      <c r="K169" s="7"/>
      <c r="L169" s="7"/>
      <c r="M169" s="7"/>
      <c r="N169" s="7"/>
      <c r="O169" s="7"/>
      <c r="P169" s="7"/>
      <c r="Q169" s="7"/>
      <c r="R169" s="7"/>
      <c r="S169" s="7"/>
      <c r="T169" s="7"/>
      <c r="U169" s="7"/>
      <c r="V169" s="7"/>
      <c r="W169" s="7"/>
      <c r="X169" s="7"/>
      <c r="Y169" s="7"/>
    </row>
    <row r="170" spans="1:25" ht="15.75" customHeight="1">
      <c r="A170" s="7"/>
      <c r="B170" s="7"/>
      <c r="C170" s="30"/>
      <c r="D170" s="30"/>
      <c r="E170" s="30"/>
      <c r="F170" s="30"/>
      <c r="G170" s="30"/>
      <c r="H170" s="30"/>
      <c r="I170" s="7"/>
      <c r="J170" s="7"/>
      <c r="K170" s="7"/>
      <c r="L170" s="7"/>
      <c r="M170" s="7"/>
      <c r="N170" s="7"/>
      <c r="O170" s="7"/>
      <c r="P170" s="7"/>
      <c r="Q170" s="7"/>
      <c r="R170" s="7"/>
      <c r="S170" s="7"/>
      <c r="T170" s="7"/>
      <c r="U170" s="7"/>
      <c r="V170" s="7"/>
      <c r="W170" s="7"/>
      <c r="X170" s="7"/>
      <c r="Y170" s="7"/>
    </row>
    <row r="171" spans="1:25" ht="15.75" customHeight="1">
      <c r="A171" s="7"/>
      <c r="B171" s="7"/>
      <c r="C171" s="30"/>
      <c r="D171" s="30"/>
      <c r="E171" s="30"/>
      <c r="F171" s="30"/>
      <c r="G171" s="30"/>
      <c r="H171" s="30"/>
      <c r="I171" s="7"/>
      <c r="J171" s="7"/>
      <c r="K171" s="7"/>
      <c r="L171" s="7"/>
      <c r="M171" s="7"/>
      <c r="N171" s="7"/>
      <c r="O171" s="7"/>
      <c r="P171" s="7"/>
      <c r="Q171" s="7"/>
      <c r="R171" s="7"/>
      <c r="S171" s="7"/>
      <c r="T171" s="7"/>
      <c r="U171" s="7"/>
      <c r="V171" s="7"/>
      <c r="W171" s="7"/>
      <c r="X171" s="7"/>
      <c r="Y171" s="7"/>
    </row>
    <row r="172" spans="1:25" ht="15.75" customHeight="1">
      <c r="A172" s="7"/>
      <c r="B172" s="7"/>
      <c r="C172" s="30"/>
      <c r="D172" s="30"/>
      <c r="E172" s="30"/>
      <c r="F172" s="30"/>
      <c r="G172" s="30"/>
      <c r="H172" s="30"/>
      <c r="I172" s="7"/>
      <c r="J172" s="7"/>
      <c r="K172" s="7"/>
      <c r="L172" s="7"/>
      <c r="M172" s="7"/>
      <c r="N172" s="7"/>
      <c r="O172" s="7"/>
      <c r="P172" s="7"/>
      <c r="Q172" s="7"/>
      <c r="R172" s="7"/>
      <c r="S172" s="7"/>
      <c r="T172" s="7"/>
      <c r="U172" s="7"/>
      <c r="V172" s="7"/>
      <c r="W172" s="7"/>
      <c r="X172" s="7"/>
      <c r="Y172" s="7"/>
    </row>
    <row r="173" spans="1:25" ht="15.75" customHeight="1">
      <c r="A173" s="7"/>
      <c r="B173" s="7"/>
      <c r="C173" s="30"/>
      <c r="D173" s="30"/>
      <c r="E173" s="30"/>
      <c r="F173" s="30"/>
      <c r="G173" s="30"/>
      <c r="H173" s="30"/>
      <c r="I173" s="7"/>
      <c r="J173" s="7"/>
      <c r="K173" s="7"/>
      <c r="L173" s="7"/>
      <c r="M173" s="7"/>
      <c r="N173" s="7"/>
      <c r="O173" s="7"/>
      <c r="P173" s="7"/>
      <c r="Q173" s="7"/>
      <c r="R173" s="7"/>
      <c r="S173" s="7"/>
      <c r="T173" s="7"/>
      <c r="U173" s="7"/>
      <c r="V173" s="7"/>
      <c r="W173" s="7"/>
      <c r="X173" s="7"/>
      <c r="Y173" s="7"/>
    </row>
    <row r="174" spans="1:25" ht="15.75" customHeight="1">
      <c r="A174" s="7"/>
      <c r="B174" s="7"/>
      <c r="C174" s="30"/>
      <c r="D174" s="30"/>
      <c r="E174" s="30"/>
      <c r="F174" s="30"/>
      <c r="G174" s="30"/>
      <c r="H174" s="30"/>
      <c r="I174" s="7"/>
      <c r="J174" s="7"/>
      <c r="K174" s="7"/>
      <c r="L174" s="7"/>
      <c r="M174" s="7"/>
      <c r="N174" s="7"/>
      <c r="O174" s="7"/>
      <c r="P174" s="7"/>
      <c r="Q174" s="7"/>
      <c r="R174" s="7"/>
      <c r="S174" s="7"/>
      <c r="T174" s="7"/>
      <c r="U174" s="7"/>
      <c r="V174" s="7"/>
      <c r="W174" s="7"/>
      <c r="X174" s="7"/>
      <c r="Y174" s="7"/>
    </row>
    <row r="175" spans="1:25" ht="15.75" customHeight="1">
      <c r="A175" s="7"/>
      <c r="B175" s="7"/>
      <c r="C175" s="30"/>
      <c r="D175" s="30"/>
      <c r="E175" s="30"/>
      <c r="F175" s="30"/>
      <c r="G175" s="30"/>
      <c r="H175" s="30"/>
      <c r="I175" s="7"/>
      <c r="J175" s="7"/>
      <c r="K175" s="7"/>
      <c r="L175" s="7"/>
      <c r="M175" s="7"/>
      <c r="N175" s="7"/>
      <c r="O175" s="7"/>
      <c r="P175" s="7"/>
      <c r="Q175" s="7"/>
      <c r="R175" s="7"/>
      <c r="S175" s="7"/>
      <c r="T175" s="7"/>
      <c r="U175" s="7"/>
      <c r="V175" s="7"/>
      <c r="W175" s="7"/>
      <c r="X175" s="7"/>
      <c r="Y175" s="7"/>
    </row>
    <row r="176" spans="1:25" ht="15.75" customHeight="1">
      <c r="A176" s="7"/>
      <c r="B176" s="7"/>
      <c r="C176" s="30"/>
      <c r="D176" s="30"/>
      <c r="E176" s="30"/>
      <c r="F176" s="30"/>
      <c r="G176" s="30"/>
      <c r="H176" s="30"/>
      <c r="I176" s="7"/>
      <c r="J176" s="7"/>
      <c r="K176" s="7"/>
      <c r="L176" s="7"/>
      <c r="M176" s="7"/>
      <c r="N176" s="7"/>
      <c r="O176" s="7"/>
      <c r="P176" s="7"/>
      <c r="Q176" s="7"/>
      <c r="R176" s="7"/>
      <c r="S176" s="7"/>
      <c r="T176" s="7"/>
      <c r="U176" s="7"/>
      <c r="V176" s="7"/>
      <c r="W176" s="7"/>
      <c r="X176" s="7"/>
      <c r="Y176" s="7"/>
    </row>
    <row r="177" spans="1:25" ht="15.75" customHeight="1">
      <c r="A177" s="7"/>
      <c r="B177" s="7"/>
      <c r="C177" s="30"/>
      <c r="D177" s="30"/>
      <c r="E177" s="30"/>
      <c r="F177" s="30"/>
      <c r="G177" s="30"/>
      <c r="H177" s="30"/>
      <c r="I177" s="7"/>
      <c r="J177" s="7"/>
      <c r="K177" s="7"/>
      <c r="L177" s="7"/>
      <c r="M177" s="7"/>
      <c r="N177" s="7"/>
      <c r="O177" s="7"/>
      <c r="P177" s="7"/>
      <c r="Q177" s="7"/>
      <c r="R177" s="7"/>
      <c r="S177" s="7"/>
      <c r="T177" s="7"/>
      <c r="U177" s="7"/>
      <c r="V177" s="7"/>
      <c r="W177" s="7"/>
      <c r="X177" s="7"/>
      <c r="Y177" s="7"/>
    </row>
    <row r="178" spans="1:25" ht="15.75" customHeight="1">
      <c r="A178" s="7"/>
      <c r="B178" s="7"/>
      <c r="C178" s="30"/>
      <c r="D178" s="30"/>
      <c r="E178" s="30"/>
      <c r="F178" s="30"/>
      <c r="G178" s="30"/>
      <c r="H178" s="30"/>
      <c r="I178" s="7"/>
      <c r="J178" s="7"/>
      <c r="K178" s="7"/>
      <c r="L178" s="7"/>
      <c r="M178" s="7"/>
      <c r="N178" s="7"/>
      <c r="O178" s="7"/>
      <c r="P178" s="7"/>
      <c r="Q178" s="7"/>
      <c r="R178" s="7"/>
      <c r="S178" s="7"/>
      <c r="T178" s="7"/>
      <c r="U178" s="7"/>
      <c r="V178" s="7"/>
      <c r="W178" s="7"/>
      <c r="X178" s="7"/>
      <c r="Y178" s="7"/>
    </row>
    <row r="179" spans="1:25" ht="15.75" customHeight="1">
      <c r="A179" s="7"/>
      <c r="B179" s="7"/>
      <c r="C179" s="30"/>
      <c r="D179" s="30"/>
      <c r="E179" s="30"/>
      <c r="F179" s="30"/>
      <c r="G179" s="30"/>
      <c r="H179" s="30"/>
      <c r="I179" s="7"/>
      <c r="J179" s="7"/>
      <c r="K179" s="7"/>
      <c r="L179" s="7"/>
      <c r="M179" s="7"/>
      <c r="N179" s="7"/>
      <c r="O179" s="7"/>
      <c r="P179" s="7"/>
      <c r="Q179" s="7"/>
      <c r="R179" s="7"/>
      <c r="S179" s="7"/>
      <c r="T179" s="7"/>
      <c r="U179" s="7"/>
      <c r="V179" s="7"/>
      <c r="W179" s="7"/>
      <c r="X179" s="7"/>
      <c r="Y179" s="7"/>
    </row>
    <row r="180" spans="1:25" ht="15.75" customHeight="1">
      <c r="A180" s="7"/>
      <c r="B180" s="7"/>
      <c r="C180" s="30"/>
      <c r="D180" s="30"/>
      <c r="E180" s="30"/>
      <c r="F180" s="30"/>
      <c r="G180" s="30"/>
      <c r="H180" s="30"/>
      <c r="I180" s="7"/>
      <c r="J180" s="7"/>
      <c r="K180" s="7"/>
      <c r="L180" s="7"/>
      <c r="M180" s="7"/>
      <c r="N180" s="7"/>
      <c r="O180" s="7"/>
      <c r="P180" s="7"/>
      <c r="Q180" s="7"/>
      <c r="R180" s="7"/>
      <c r="S180" s="7"/>
      <c r="T180" s="7"/>
      <c r="U180" s="7"/>
      <c r="V180" s="7"/>
      <c r="W180" s="7"/>
      <c r="X180" s="7"/>
      <c r="Y180" s="7"/>
    </row>
    <row r="181" spans="1:25" ht="15.75" customHeight="1">
      <c r="A181" s="7"/>
      <c r="B181" s="7"/>
      <c r="C181" s="30"/>
      <c r="D181" s="30"/>
      <c r="E181" s="30"/>
      <c r="F181" s="30"/>
      <c r="G181" s="30"/>
      <c r="H181" s="30"/>
      <c r="I181" s="7"/>
      <c r="J181" s="7"/>
      <c r="K181" s="7"/>
      <c r="L181" s="7"/>
      <c r="M181" s="7"/>
      <c r="N181" s="7"/>
      <c r="O181" s="7"/>
      <c r="P181" s="7"/>
      <c r="Q181" s="7"/>
      <c r="R181" s="7"/>
      <c r="S181" s="7"/>
      <c r="T181" s="7"/>
      <c r="U181" s="7"/>
      <c r="V181" s="7"/>
      <c r="W181" s="7"/>
      <c r="X181" s="7"/>
      <c r="Y181" s="7"/>
    </row>
    <row r="182" spans="1:25" ht="15.75" customHeight="1">
      <c r="A182" s="7"/>
      <c r="B182" s="7"/>
      <c r="C182" s="30"/>
      <c r="D182" s="30"/>
      <c r="E182" s="30"/>
      <c r="F182" s="30"/>
      <c r="G182" s="30"/>
      <c r="H182" s="30"/>
      <c r="I182" s="7"/>
      <c r="J182" s="7"/>
      <c r="K182" s="7"/>
      <c r="L182" s="7"/>
      <c r="M182" s="7"/>
      <c r="N182" s="7"/>
      <c r="O182" s="7"/>
      <c r="P182" s="7"/>
      <c r="Q182" s="7"/>
      <c r="R182" s="7"/>
      <c r="S182" s="7"/>
      <c r="T182" s="7"/>
      <c r="U182" s="7"/>
      <c r="V182" s="7"/>
      <c r="W182" s="7"/>
      <c r="X182" s="7"/>
      <c r="Y182" s="7"/>
    </row>
    <row r="183" spans="1:25" ht="15.75" customHeight="1">
      <c r="A183" s="7"/>
      <c r="B183" s="7"/>
      <c r="C183" s="30"/>
      <c r="D183" s="30"/>
      <c r="E183" s="30"/>
      <c r="F183" s="30"/>
      <c r="G183" s="30"/>
      <c r="H183" s="30"/>
      <c r="I183" s="7"/>
      <c r="J183" s="7"/>
      <c r="K183" s="7"/>
      <c r="L183" s="7"/>
      <c r="M183" s="7"/>
      <c r="N183" s="7"/>
      <c r="O183" s="7"/>
      <c r="P183" s="7"/>
      <c r="Q183" s="7"/>
      <c r="R183" s="7"/>
      <c r="S183" s="7"/>
      <c r="T183" s="7"/>
      <c r="U183" s="7"/>
      <c r="V183" s="7"/>
      <c r="W183" s="7"/>
      <c r="X183" s="7"/>
      <c r="Y183" s="7"/>
    </row>
    <row r="184" spans="1:25" ht="15.75" customHeight="1">
      <c r="A184" s="7"/>
      <c r="B184" s="7"/>
      <c r="C184" s="30"/>
      <c r="D184" s="30"/>
      <c r="E184" s="30"/>
      <c r="F184" s="30"/>
      <c r="G184" s="30"/>
      <c r="H184" s="30"/>
      <c r="I184" s="7"/>
      <c r="J184" s="7"/>
      <c r="K184" s="7"/>
      <c r="L184" s="7"/>
      <c r="M184" s="7"/>
      <c r="N184" s="7"/>
      <c r="O184" s="7"/>
      <c r="P184" s="7"/>
      <c r="Q184" s="7"/>
      <c r="R184" s="7"/>
      <c r="S184" s="7"/>
      <c r="T184" s="7"/>
      <c r="U184" s="7"/>
      <c r="V184" s="7"/>
      <c r="W184" s="7"/>
      <c r="X184" s="7"/>
      <c r="Y184" s="7"/>
    </row>
    <row r="185" spans="1:25" ht="15.75" customHeight="1">
      <c r="A185" s="7"/>
      <c r="B185" s="7"/>
      <c r="C185" s="30"/>
      <c r="D185" s="30"/>
      <c r="E185" s="30"/>
      <c r="F185" s="30"/>
      <c r="G185" s="30"/>
      <c r="H185" s="30"/>
      <c r="I185" s="7"/>
      <c r="J185" s="7"/>
      <c r="K185" s="7"/>
      <c r="L185" s="7"/>
      <c r="M185" s="7"/>
      <c r="N185" s="7"/>
      <c r="O185" s="7"/>
      <c r="P185" s="7"/>
      <c r="Q185" s="7"/>
      <c r="R185" s="7"/>
      <c r="S185" s="7"/>
      <c r="T185" s="7"/>
      <c r="U185" s="7"/>
      <c r="V185" s="7"/>
      <c r="W185" s="7"/>
      <c r="X185" s="7"/>
      <c r="Y185" s="7"/>
    </row>
    <row r="186" spans="1:25" ht="15.75" customHeight="1">
      <c r="A186" s="7"/>
      <c r="B186" s="7"/>
      <c r="C186" s="30"/>
      <c r="D186" s="30"/>
      <c r="E186" s="30"/>
      <c r="F186" s="30"/>
      <c r="G186" s="30"/>
      <c r="H186" s="30"/>
      <c r="I186" s="7"/>
      <c r="J186" s="7"/>
      <c r="K186" s="7"/>
      <c r="L186" s="7"/>
      <c r="M186" s="7"/>
      <c r="N186" s="7"/>
      <c r="O186" s="7"/>
      <c r="P186" s="7"/>
      <c r="Q186" s="7"/>
      <c r="R186" s="7"/>
      <c r="S186" s="7"/>
      <c r="T186" s="7"/>
      <c r="U186" s="7"/>
      <c r="V186" s="7"/>
      <c r="W186" s="7"/>
      <c r="X186" s="7"/>
      <c r="Y186" s="7"/>
    </row>
    <row r="187" spans="1:25" ht="15.75" customHeight="1">
      <c r="A187" s="7"/>
      <c r="B187" s="7"/>
      <c r="C187" s="30"/>
      <c r="D187" s="30"/>
      <c r="E187" s="30"/>
      <c r="F187" s="30"/>
      <c r="G187" s="30"/>
      <c r="H187" s="30"/>
      <c r="I187" s="7"/>
      <c r="J187" s="7"/>
      <c r="K187" s="7"/>
      <c r="L187" s="7"/>
      <c r="M187" s="7"/>
      <c r="N187" s="7"/>
      <c r="O187" s="7"/>
      <c r="P187" s="7"/>
      <c r="Q187" s="7"/>
      <c r="R187" s="7"/>
      <c r="S187" s="7"/>
      <c r="T187" s="7"/>
      <c r="U187" s="7"/>
      <c r="V187" s="7"/>
      <c r="W187" s="7"/>
      <c r="X187" s="7"/>
      <c r="Y187" s="7"/>
    </row>
    <row r="188" spans="1:25" ht="15.75" customHeight="1">
      <c r="A188" s="7"/>
      <c r="B188" s="7"/>
      <c r="C188" s="30"/>
      <c r="D188" s="30"/>
      <c r="E188" s="30"/>
      <c r="F188" s="30"/>
      <c r="G188" s="30"/>
      <c r="H188" s="30"/>
      <c r="I188" s="7"/>
      <c r="J188" s="7"/>
      <c r="K188" s="7"/>
      <c r="L188" s="7"/>
      <c r="M188" s="7"/>
      <c r="N188" s="7"/>
      <c r="O188" s="7"/>
      <c r="P188" s="7"/>
      <c r="Q188" s="7"/>
      <c r="R188" s="7"/>
      <c r="S188" s="7"/>
      <c r="T188" s="7"/>
      <c r="U188" s="7"/>
      <c r="V188" s="7"/>
      <c r="W188" s="7"/>
      <c r="X188" s="7"/>
      <c r="Y188" s="7"/>
    </row>
    <row r="189" spans="1:25" ht="15.75" customHeight="1">
      <c r="A189" s="7"/>
      <c r="B189" s="7"/>
      <c r="C189" s="30"/>
      <c r="D189" s="30"/>
      <c r="E189" s="30"/>
      <c r="F189" s="30"/>
      <c r="G189" s="30"/>
      <c r="H189" s="30"/>
      <c r="I189" s="7"/>
      <c r="J189" s="7"/>
      <c r="K189" s="7"/>
      <c r="L189" s="7"/>
      <c r="M189" s="7"/>
      <c r="N189" s="7"/>
      <c r="O189" s="7"/>
      <c r="P189" s="7"/>
      <c r="Q189" s="7"/>
      <c r="R189" s="7"/>
      <c r="S189" s="7"/>
      <c r="T189" s="7"/>
      <c r="U189" s="7"/>
      <c r="V189" s="7"/>
      <c r="W189" s="7"/>
      <c r="X189" s="7"/>
      <c r="Y189" s="7"/>
    </row>
    <row r="190" spans="1:25" ht="15.75" customHeight="1">
      <c r="A190" s="7"/>
      <c r="B190" s="7"/>
      <c r="C190" s="30"/>
      <c r="D190" s="30"/>
      <c r="E190" s="30"/>
      <c r="F190" s="30"/>
      <c r="G190" s="30"/>
      <c r="H190" s="30"/>
      <c r="I190" s="7"/>
      <c r="J190" s="7"/>
      <c r="K190" s="7"/>
      <c r="L190" s="7"/>
      <c r="M190" s="7"/>
      <c r="N190" s="7"/>
      <c r="O190" s="7"/>
      <c r="P190" s="7"/>
      <c r="Q190" s="7"/>
      <c r="R190" s="7"/>
      <c r="S190" s="7"/>
      <c r="T190" s="7"/>
      <c r="U190" s="7"/>
      <c r="V190" s="7"/>
      <c r="W190" s="7"/>
      <c r="X190" s="7"/>
      <c r="Y190" s="7"/>
    </row>
    <row r="191" spans="1:25" ht="15.75" customHeight="1">
      <c r="A191" s="7"/>
      <c r="B191" s="7"/>
      <c r="C191" s="30"/>
      <c r="D191" s="30"/>
      <c r="E191" s="30"/>
      <c r="F191" s="30"/>
      <c r="G191" s="30"/>
      <c r="H191" s="30"/>
      <c r="I191" s="7"/>
      <c r="J191" s="7"/>
      <c r="K191" s="7"/>
      <c r="L191" s="7"/>
      <c r="M191" s="7"/>
      <c r="N191" s="7"/>
      <c r="O191" s="7"/>
      <c r="P191" s="7"/>
      <c r="Q191" s="7"/>
      <c r="R191" s="7"/>
      <c r="S191" s="7"/>
      <c r="T191" s="7"/>
      <c r="U191" s="7"/>
      <c r="V191" s="7"/>
      <c r="W191" s="7"/>
      <c r="X191" s="7"/>
      <c r="Y191" s="7"/>
    </row>
    <row r="192" spans="1:25" ht="15.75" customHeight="1">
      <c r="A192" s="7"/>
      <c r="B192" s="7"/>
      <c r="C192" s="30"/>
      <c r="D192" s="30"/>
      <c r="E192" s="30"/>
      <c r="F192" s="30"/>
      <c r="G192" s="30"/>
      <c r="H192" s="30"/>
      <c r="I192" s="7"/>
      <c r="J192" s="7"/>
      <c r="K192" s="7"/>
      <c r="L192" s="7"/>
      <c r="M192" s="7"/>
      <c r="N192" s="7"/>
      <c r="O192" s="7"/>
      <c r="P192" s="7"/>
      <c r="Q192" s="7"/>
      <c r="R192" s="7"/>
      <c r="S192" s="7"/>
      <c r="T192" s="7"/>
      <c r="U192" s="7"/>
      <c r="V192" s="7"/>
      <c r="W192" s="7"/>
      <c r="X192" s="7"/>
      <c r="Y192" s="7"/>
    </row>
    <row r="193" spans="1:25" ht="15.75" customHeight="1">
      <c r="A193" s="7"/>
      <c r="B193" s="7"/>
      <c r="C193" s="30"/>
      <c r="D193" s="30"/>
      <c r="E193" s="30"/>
      <c r="F193" s="30"/>
      <c r="G193" s="30"/>
      <c r="H193" s="30"/>
      <c r="I193" s="7"/>
      <c r="J193" s="7"/>
      <c r="K193" s="7"/>
      <c r="L193" s="7"/>
      <c r="M193" s="7"/>
      <c r="N193" s="7"/>
      <c r="O193" s="7"/>
      <c r="P193" s="7"/>
      <c r="Q193" s="7"/>
      <c r="R193" s="7"/>
      <c r="S193" s="7"/>
      <c r="T193" s="7"/>
      <c r="U193" s="7"/>
      <c r="V193" s="7"/>
      <c r="W193" s="7"/>
      <c r="X193" s="7"/>
      <c r="Y193" s="7"/>
    </row>
    <row r="194" spans="1:25" ht="15.75" customHeight="1">
      <c r="A194" s="7"/>
      <c r="B194" s="7"/>
      <c r="C194" s="30"/>
      <c r="D194" s="30"/>
      <c r="E194" s="30"/>
      <c r="F194" s="30"/>
      <c r="G194" s="30"/>
      <c r="H194" s="30"/>
      <c r="I194" s="7"/>
      <c r="J194" s="7"/>
      <c r="K194" s="7"/>
      <c r="L194" s="7"/>
      <c r="M194" s="7"/>
      <c r="N194" s="7"/>
      <c r="O194" s="7"/>
      <c r="P194" s="7"/>
      <c r="Q194" s="7"/>
      <c r="R194" s="7"/>
      <c r="S194" s="7"/>
      <c r="T194" s="7"/>
      <c r="U194" s="7"/>
      <c r="V194" s="7"/>
      <c r="W194" s="7"/>
      <c r="X194" s="7"/>
      <c r="Y194" s="7"/>
    </row>
    <row r="195" spans="1:25" ht="15.75" customHeight="1">
      <c r="A195" s="7"/>
      <c r="B195" s="7"/>
      <c r="C195" s="30"/>
      <c r="D195" s="30"/>
      <c r="E195" s="30"/>
      <c r="F195" s="30"/>
      <c r="G195" s="30"/>
      <c r="H195" s="30"/>
      <c r="I195" s="7"/>
      <c r="J195" s="7"/>
      <c r="K195" s="7"/>
      <c r="L195" s="7"/>
      <c r="M195" s="7"/>
      <c r="N195" s="7"/>
      <c r="O195" s="7"/>
      <c r="P195" s="7"/>
      <c r="Q195" s="7"/>
      <c r="R195" s="7"/>
      <c r="S195" s="7"/>
      <c r="T195" s="7"/>
      <c r="U195" s="7"/>
      <c r="V195" s="7"/>
      <c r="W195" s="7"/>
      <c r="X195" s="7"/>
      <c r="Y195" s="7"/>
    </row>
    <row r="196" spans="1:25" ht="15.75" customHeight="1">
      <c r="A196" s="7"/>
      <c r="B196" s="7"/>
      <c r="C196" s="30"/>
      <c r="D196" s="30"/>
      <c r="E196" s="30"/>
      <c r="F196" s="30"/>
      <c r="G196" s="30"/>
      <c r="H196" s="30"/>
      <c r="I196" s="7"/>
      <c r="J196" s="7"/>
      <c r="K196" s="7"/>
      <c r="L196" s="7"/>
      <c r="M196" s="7"/>
      <c r="N196" s="7"/>
      <c r="O196" s="7"/>
      <c r="P196" s="7"/>
      <c r="Q196" s="7"/>
      <c r="R196" s="7"/>
      <c r="S196" s="7"/>
      <c r="T196" s="7"/>
      <c r="U196" s="7"/>
      <c r="V196" s="7"/>
      <c r="W196" s="7"/>
      <c r="X196" s="7"/>
      <c r="Y196" s="7"/>
    </row>
    <row r="197" spans="1:25" ht="15.75" customHeight="1">
      <c r="A197" s="7"/>
      <c r="B197" s="7"/>
      <c r="C197" s="30"/>
      <c r="D197" s="30"/>
      <c r="E197" s="30"/>
      <c r="F197" s="30"/>
      <c r="G197" s="30"/>
      <c r="H197" s="30"/>
      <c r="I197" s="7"/>
      <c r="J197" s="7"/>
      <c r="K197" s="7"/>
      <c r="L197" s="7"/>
      <c r="M197" s="7"/>
      <c r="N197" s="7"/>
      <c r="O197" s="7"/>
      <c r="P197" s="7"/>
      <c r="Q197" s="7"/>
      <c r="R197" s="7"/>
      <c r="S197" s="7"/>
      <c r="T197" s="7"/>
      <c r="U197" s="7"/>
      <c r="V197" s="7"/>
      <c r="W197" s="7"/>
      <c r="X197" s="7"/>
      <c r="Y197" s="7"/>
    </row>
    <row r="198" spans="1:25" ht="15.75" customHeight="1">
      <c r="A198" s="7"/>
      <c r="B198" s="7"/>
      <c r="C198" s="30"/>
      <c r="D198" s="30"/>
      <c r="E198" s="30"/>
      <c r="F198" s="30"/>
      <c r="G198" s="30"/>
      <c r="H198" s="30"/>
      <c r="I198" s="7"/>
      <c r="J198" s="7"/>
      <c r="K198" s="7"/>
      <c r="L198" s="7"/>
      <c r="M198" s="7"/>
      <c r="N198" s="7"/>
      <c r="O198" s="7"/>
      <c r="P198" s="7"/>
      <c r="Q198" s="7"/>
      <c r="R198" s="7"/>
      <c r="S198" s="7"/>
      <c r="T198" s="7"/>
      <c r="U198" s="7"/>
      <c r="V198" s="7"/>
      <c r="W198" s="7"/>
      <c r="X198" s="7"/>
      <c r="Y198" s="7"/>
    </row>
    <row r="199" spans="1:25" ht="15.75" customHeight="1">
      <c r="A199" s="7"/>
      <c r="B199" s="7"/>
      <c r="C199" s="30"/>
      <c r="D199" s="30"/>
      <c r="E199" s="30"/>
      <c r="F199" s="30"/>
      <c r="G199" s="30"/>
      <c r="H199" s="30"/>
      <c r="I199" s="7"/>
      <c r="J199" s="7"/>
      <c r="K199" s="7"/>
      <c r="L199" s="7"/>
      <c r="M199" s="7"/>
      <c r="N199" s="7"/>
      <c r="O199" s="7"/>
      <c r="P199" s="7"/>
      <c r="Q199" s="7"/>
      <c r="R199" s="7"/>
      <c r="S199" s="7"/>
      <c r="T199" s="7"/>
      <c r="U199" s="7"/>
      <c r="V199" s="7"/>
      <c r="W199" s="7"/>
      <c r="X199" s="7"/>
      <c r="Y199" s="7"/>
    </row>
    <row r="200" spans="1:25" ht="15.75" customHeight="1">
      <c r="A200" s="7"/>
      <c r="B200" s="7"/>
      <c r="C200" s="30"/>
      <c r="D200" s="30"/>
      <c r="E200" s="30"/>
      <c r="F200" s="30"/>
      <c r="G200" s="30"/>
      <c r="H200" s="30"/>
      <c r="I200" s="7"/>
      <c r="J200" s="7"/>
      <c r="K200" s="7"/>
      <c r="L200" s="7"/>
      <c r="M200" s="7"/>
      <c r="N200" s="7"/>
      <c r="O200" s="7"/>
      <c r="P200" s="7"/>
      <c r="Q200" s="7"/>
      <c r="R200" s="7"/>
      <c r="S200" s="7"/>
      <c r="T200" s="7"/>
      <c r="U200" s="7"/>
      <c r="V200" s="7"/>
      <c r="W200" s="7"/>
      <c r="X200" s="7"/>
      <c r="Y200" s="7"/>
    </row>
    <row r="201" spans="1:25" ht="15.75" customHeight="1">
      <c r="A201" s="7"/>
      <c r="B201" s="7"/>
      <c r="C201" s="30"/>
      <c r="D201" s="30"/>
      <c r="E201" s="30"/>
      <c r="F201" s="30"/>
      <c r="G201" s="30"/>
      <c r="H201" s="30"/>
      <c r="I201" s="7"/>
      <c r="J201" s="7"/>
      <c r="K201" s="7"/>
      <c r="L201" s="7"/>
      <c r="M201" s="7"/>
      <c r="N201" s="7"/>
      <c r="O201" s="7"/>
      <c r="P201" s="7"/>
      <c r="Q201" s="7"/>
      <c r="R201" s="7"/>
      <c r="S201" s="7"/>
      <c r="T201" s="7"/>
      <c r="U201" s="7"/>
      <c r="V201" s="7"/>
      <c r="W201" s="7"/>
      <c r="X201" s="7"/>
      <c r="Y201" s="7"/>
    </row>
    <row r="202" spans="1:25" ht="15.75" customHeight="1">
      <c r="A202" s="7"/>
      <c r="B202" s="7"/>
      <c r="C202" s="30"/>
      <c r="D202" s="30"/>
      <c r="E202" s="30"/>
      <c r="F202" s="30"/>
      <c r="G202" s="30"/>
      <c r="H202" s="30"/>
      <c r="I202" s="7"/>
      <c r="J202" s="7"/>
      <c r="K202" s="7"/>
      <c r="L202" s="7"/>
      <c r="M202" s="7"/>
      <c r="N202" s="7"/>
      <c r="O202" s="7"/>
      <c r="P202" s="7"/>
      <c r="Q202" s="7"/>
      <c r="R202" s="7"/>
      <c r="S202" s="7"/>
      <c r="T202" s="7"/>
      <c r="U202" s="7"/>
      <c r="V202" s="7"/>
      <c r="W202" s="7"/>
      <c r="X202" s="7"/>
      <c r="Y202" s="7"/>
    </row>
    <row r="203" spans="1:25" ht="15.75" customHeight="1">
      <c r="A203" s="7"/>
      <c r="B203" s="7"/>
      <c r="C203" s="30"/>
      <c r="D203" s="30"/>
      <c r="E203" s="30"/>
      <c r="F203" s="30"/>
      <c r="G203" s="30"/>
      <c r="H203" s="30"/>
      <c r="I203" s="7"/>
      <c r="J203" s="7"/>
      <c r="K203" s="7"/>
      <c r="L203" s="7"/>
      <c r="M203" s="7"/>
      <c r="N203" s="7"/>
      <c r="O203" s="7"/>
      <c r="P203" s="7"/>
      <c r="Q203" s="7"/>
      <c r="R203" s="7"/>
      <c r="S203" s="7"/>
      <c r="T203" s="7"/>
      <c r="U203" s="7"/>
      <c r="V203" s="7"/>
      <c r="W203" s="7"/>
      <c r="X203" s="7"/>
      <c r="Y203" s="7"/>
    </row>
    <row r="204" spans="1:25" ht="15.75" customHeight="1">
      <c r="A204" s="7"/>
      <c r="B204" s="7"/>
      <c r="C204" s="30"/>
      <c r="D204" s="30"/>
      <c r="E204" s="30"/>
      <c r="F204" s="30"/>
      <c r="G204" s="30"/>
      <c r="H204" s="30"/>
      <c r="I204" s="7"/>
      <c r="J204" s="7"/>
      <c r="K204" s="7"/>
      <c r="L204" s="7"/>
      <c r="M204" s="7"/>
      <c r="N204" s="7"/>
      <c r="O204" s="7"/>
      <c r="P204" s="7"/>
      <c r="Q204" s="7"/>
      <c r="R204" s="7"/>
      <c r="S204" s="7"/>
      <c r="T204" s="7"/>
      <c r="U204" s="7"/>
      <c r="V204" s="7"/>
      <c r="W204" s="7"/>
      <c r="X204" s="7"/>
      <c r="Y204" s="7"/>
    </row>
    <row r="205" spans="1:25" ht="15.75" customHeight="1">
      <c r="A205" s="7"/>
      <c r="B205" s="7"/>
      <c r="C205" s="30"/>
      <c r="D205" s="30"/>
      <c r="E205" s="30"/>
      <c r="F205" s="30"/>
      <c r="G205" s="30"/>
      <c r="H205" s="30"/>
      <c r="I205" s="7"/>
      <c r="J205" s="7"/>
      <c r="K205" s="7"/>
      <c r="L205" s="7"/>
      <c r="M205" s="7"/>
      <c r="N205" s="7"/>
      <c r="O205" s="7"/>
      <c r="P205" s="7"/>
      <c r="Q205" s="7"/>
      <c r="R205" s="7"/>
      <c r="S205" s="7"/>
      <c r="T205" s="7"/>
      <c r="U205" s="7"/>
      <c r="V205" s="7"/>
      <c r="W205" s="7"/>
      <c r="X205" s="7"/>
      <c r="Y205" s="7"/>
    </row>
    <row r="206" spans="1:25" ht="15.75" customHeight="1">
      <c r="A206" s="7"/>
      <c r="B206" s="7"/>
      <c r="C206" s="30"/>
      <c r="D206" s="30"/>
      <c r="E206" s="30"/>
      <c r="F206" s="30"/>
      <c r="G206" s="30"/>
      <c r="H206" s="30"/>
      <c r="I206" s="7"/>
      <c r="J206" s="7"/>
      <c r="K206" s="7"/>
      <c r="L206" s="7"/>
      <c r="M206" s="7"/>
      <c r="N206" s="7"/>
      <c r="O206" s="7"/>
      <c r="P206" s="7"/>
      <c r="Q206" s="7"/>
      <c r="R206" s="7"/>
      <c r="S206" s="7"/>
      <c r="T206" s="7"/>
      <c r="U206" s="7"/>
      <c r="V206" s="7"/>
      <c r="W206" s="7"/>
      <c r="X206" s="7"/>
      <c r="Y206" s="7"/>
    </row>
    <row r="207" spans="1:25" ht="15.75" customHeight="1">
      <c r="A207" s="7"/>
      <c r="B207" s="7"/>
      <c r="C207" s="30"/>
      <c r="D207" s="30"/>
      <c r="E207" s="30"/>
      <c r="F207" s="30"/>
      <c r="G207" s="30"/>
      <c r="H207" s="30"/>
      <c r="I207" s="7"/>
      <c r="J207" s="7"/>
      <c r="K207" s="7"/>
      <c r="L207" s="7"/>
      <c r="M207" s="7"/>
      <c r="N207" s="7"/>
      <c r="O207" s="7"/>
      <c r="P207" s="7"/>
      <c r="Q207" s="7"/>
      <c r="R207" s="7"/>
      <c r="S207" s="7"/>
      <c r="T207" s="7"/>
      <c r="U207" s="7"/>
      <c r="V207" s="7"/>
      <c r="W207" s="7"/>
      <c r="X207" s="7"/>
      <c r="Y207" s="7"/>
    </row>
    <row r="208" spans="1:25" ht="15.75" customHeight="1">
      <c r="A208" s="7"/>
      <c r="B208" s="7"/>
      <c r="C208" s="30"/>
      <c r="D208" s="30"/>
      <c r="E208" s="30"/>
      <c r="F208" s="30"/>
      <c r="G208" s="30"/>
      <c r="H208" s="30"/>
      <c r="I208" s="7"/>
      <c r="J208" s="7"/>
      <c r="K208" s="7"/>
      <c r="L208" s="7"/>
      <c r="M208" s="7"/>
      <c r="N208" s="7"/>
      <c r="O208" s="7"/>
      <c r="P208" s="7"/>
      <c r="Q208" s="7"/>
      <c r="R208" s="7"/>
      <c r="S208" s="7"/>
      <c r="T208" s="7"/>
      <c r="U208" s="7"/>
      <c r="V208" s="7"/>
      <c r="W208" s="7"/>
      <c r="X208" s="7"/>
      <c r="Y208" s="7"/>
    </row>
    <row r="209" spans="1:25" ht="15.75" customHeight="1">
      <c r="A209" s="7"/>
      <c r="B209" s="7"/>
      <c r="C209" s="30"/>
      <c r="D209" s="30"/>
      <c r="E209" s="30"/>
      <c r="F209" s="30"/>
      <c r="G209" s="30"/>
      <c r="H209" s="30"/>
      <c r="I209" s="7"/>
      <c r="J209" s="7"/>
      <c r="K209" s="7"/>
      <c r="L209" s="7"/>
      <c r="M209" s="7"/>
      <c r="N209" s="7"/>
      <c r="O209" s="7"/>
      <c r="P209" s="7"/>
      <c r="Q209" s="7"/>
      <c r="R209" s="7"/>
      <c r="S209" s="7"/>
      <c r="T209" s="7"/>
      <c r="U209" s="7"/>
      <c r="V209" s="7"/>
      <c r="W209" s="7"/>
      <c r="X209" s="7"/>
      <c r="Y209" s="7"/>
    </row>
    <row r="210" spans="1:25" ht="15.75" customHeight="1">
      <c r="A210" s="7"/>
      <c r="B210" s="7"/>
      <c r="C210" s="30"/>
      <c r="D210" s="30"/>
      <c r="E210" s="30"/>
      <c r="F210" s="30"/>
      <c r="G210" s="30"/>
      <c r="H210" s="30"/>
      <c r="I210" s="7"/>
      <c r="J210" s="7"/>
      <c r="K210" s="7"/>
      <c r="L210" s="7"/>
      <c r="M210" s="7"/>
      <c r="N210" s="7"/>
      <c r="O210" s="7"/>
      <c r="P210" s="7"/>
      <c r="Q210" s="7"/>
      <c r="R210" s="7"/>
      <c r="S210" s="7"/>
      <c r="T210" s="7"/>
      <c r="U210" s="7"/>
      <c r="V210" s="7"/>
      <c r="W210" s="7"/>
      <c r="X210" s="7"/>
      <c r="Y210" s="7"/>
    </row>
    <row r="211" spans="1:25" ht="15.75" customHeight="1">
      <c r="A211" s="7"/>
      <c r="B211" s="7"/>
      <c r="C211" s="30"/>
      <c r="D211" s="30"/>
      <c r="E211" s="30"/>
      <c r="F211" s="30"/>
      <c r="G211" s="30"/>
      <c r="H211" s="30"/>
      <c r="I211" s="7"/>
      <c r="J211" s="7"/>
      <c r="K211" s="7"/>
      <c r="L211" s="7"/>
      <c r="M211" s="7"/>
      <c r="N211" s="7"/>
      <c r="O211" s="7"/>
      <c r="P211" s="7"/>
      <c r="Q211" s="7"/>
      <c r="R211" s="7"/>
      <c r="S211" s="7"/>
      <c r="T211" s="7"/>
      <c r="U211" s="7"/>
      <c r="V211" s="7"/>
      <c r="W211" s="7"/>
      <c r="X211" s="7"/>
      <c r="Y211" s="7"/>
    </row>
    <row r="212" spans="1:25" ht="15.75" customHeight="1">
      <c r="A212" s="7"/>
      <c r="B212" s="7"/>
      <c r="C212" s="30"/>
      <c r="D212" s="30"/>
      <c r="E212" s="30"/>
      <c r="F212" s="30"/>
      <c r="G212" s="30"/>
      <c r="H212" s="30"/>
      <c r="I212" s="7"/>
      <c r="J212" s="7"/>
      <c r="K212" s="7"/>
      <c r="L212" s="7"/>
      <c r="M212" s="7"/>
      <c r="N212" s="7"/>
      <c r="O212" s="7"/>
      <c r="P212" s="7"/>
      <c r="Q212" s="7"/>
      <c r="R212" s="7"/>
      <c r="S212" s="7"/>
      <c r="T212" s="7"/>
      <c r="U212" s="7"/>
      <c r="V212" s="7"/>
      <c r="W212" s="7"/>
      <c r="X212" s="7"/>
      <c r="Y212" s="7"/>
    </row>
    <row r="213" spans="1:25" ht="15.75" customHeight="1">
      <c r="A213" s="7"/>
      <c r="B213" s="7"/>
      <c r="C213" s="30"/>
      <c r="D213" s="30"/>
      <c r="E213" s="30"/>
      <c r="F213" s="30"/>
      <c r="G213" s="30"/>
      <c r="H213" s="30"/>
      <c r="I213" s="7"/>
      <c r="J213" s="7"/>
      <c r="K213" s="7"/>
      <c r="L213" s="7"/>
      <c r="M213" s="7"/>
      <c r="N213" s="7"/>
      <c r="O213" s="7"/>
      <c r="P213" s="7"/>
      <c r="Q213" s="7"/>
      <c r="R213" s="7"/>
      <c r="S213" s="7"/>
      <c r="T213" s="7"/>
      <c r="U213" s="7"/>
      <c r="V213" s="7"/>
      <c r="W213" s="7"/>
      <c r="X213" s="7"/>
      <c r="Y213" s="7"/>
    </row>
    <row r="214" spans="1:25" ht="15.75" customHeight="1">
      <c r="A214" s="7"/>
      <c r="B214" s="7"/>
      <c r="C214" s="30"/>
      <c r="D214" s="30"/>
      <c r="E214" s="30"/>
      <c r="F214" s="30"/>
      <c r="G214" s="30"/>
      <c r="H214" s="30"/>
      <c r="I214" s="7"/>
      <c r="J214" s="7"/>
      <c r="K214" s="7"/>
      <c r="L214" s="7"/>
      <c r="M214" s="7"/>
      <c r="N214" s="7"/>
      <c r="O214" s="7"/>
      <c r="P214" s="7"/>
      <c r="Q214" s="7"/>
      <c r="R214" s="7"/>
      <c r="S214" s="7"/>
      <c r="T214" s="7"/>
      <c r="U214" s="7"/>
      <c r="V214" s="7"/>
      <c r="W214" s="7"/>
      <c r="X214" s="7"/>
      <c r="Y214" s="7"/>
    </row>
    <row r="215" spans="1:25" ht="15.75" customHeight="1">
      <c r="A215" s="7"/>
      <c r="B215" s="7"/>
      <c r="C215" s="30"/>
      <c r="D215" s="30"/>
      <c r="E215" s="30"/>
      <c r="F215" s="30"/>
      <c r="G215" s="30"/>
      <c r="H215" s="30"/>
      <c r="I215" s="7"/>
      <c r="J215" s="7"/>
      <c r="K215" s="7"/>
      <c r="L215" s="7"/>
      <c r="M215" s="7"/>
      <c r="N215" s="7"/>
      <c r="O215" s="7"/>
      <c r="P215" s="7"/>
      <c r="Q215" s="7"/>
      <c r="R215" s="7"/>
      <c r="S215" s="7"/>
      <c r="T215" s="7"/>
      <c r="U215" s="7"/>
      <c r="V215" s="7"/>
      <c r="W215" s="7"/>
      <c r="X215" s="7"/>
      <c r="Y215" s="7"/>
    </row>
    <row r="216" spans="1:25" ht="15.75" customHeight="1">
      <c r="A216" s="7"/>
      <c r="B216" s="7"/>
      <c r="C216" s="30"/>
      <c r="D216" s="30"/>
      <c r="E216" s="30"/>
      <c r="F216" s="30"/>
      <c r="G216" s="30"/>
      <c r="H216" s="30"/>
      <c r="I216" s="7"/>
      <c r="J216" s="7"/>
      <c r="K216" s="7"/>
      <c r="L216" s="7"/>
      <c r="M216" s="7"/>
      <c r="N216" s="7"/>
      <c r="O216" s="7"/>
      <c r="P216" s="7"/>
      <c r="Q216" s="7"/>
      <c r="R216" s="7"/>
      <c r="S216" s="7"/>
      <c r="T216" s="7"/>
      <c r="U216" s="7"/>
      <c r="V216" s="7"/>
      <c r="W216" s="7"/>
      <c r="X216" s="7"/>
      <c r="Y216" s="7"/>
    </row>
    <row r="217" spans="1:25" ht="15.75" customHeight="1">
      <c r="A217" s="7"/>
      <c r="B217" s="7"/>
      <c r="C217" s="30"/>
      <c r="D217" s="30"/>
      <c r="E217" s="30"/>
      <c r="F217" s="30"/>
      <c r="G217" s="30"/>
      <c r="H217" s="30"/>
      <c r="I217" s="7"/>
      <c r="J217" s="7"/>
      <c r="K217" s="7"/>
      <c r="L217" s="7"/>
      <c r="M217" s="7"/>
      <c r="N217" s="7"/>
      <c r="O217" s="7"/>
      <c r="P217" s="7"/>
      <c r="Q217" s="7"/>
      <c r="R217" s="7"/>
      <c r="S217" s="7"/>
      <c r="T217" s="7"/>
      <c r="U217" s="7"/>
      <c r="V217" s="7"/>
      <c r="W217" s="7"/>
      <c r="X217" s="7"/>
      <c r="Y217" s="7"/>
    </row>
    <row r="218" spans="1:25" ht="15.75" customHeight="1">
      <c r="A218" s="7"/>
      <c r="B218" s="7"/>
      <c r="C218" s="30"/>
      <c r="D218" s="30"/>
      <c r="E218" s="30"/>
      <c r="F218" s="30"/>
      <c r="G218" s="30"/>
      <c r="H218" s="30"/>
      <c r="I218" s="7"/>
      <c r="J218" s="7"/>
      <c r="K218" s="7"/>
      <c r="L218" s="7"/>
      <c r="M218" s="7"/>
      <c r="N218" s="7"/>
      <c r="O218" s="7"/>
      <c r="P218" s="7"/>
      <c r="Q218" s="7"/>
      <c r="R218" s="7"/>
      <c r="S218" s="7"/>
      <c r="T218" s="7"/>
      <c r="U218" s="7"/>
      <c r="V218" s="7"/>
      <c r="W218" s="7"/>
      <c r="X218" s="7"/>
      <c r="Y218" s="7"/>
    </row>
    <row r="219" spans="1:25" ht="15.75" customHeight="1">
      <c r="A219" s="7"/>
      <c r="B219" s="7"/>
      <c r="C219" s="30"/>
      <c r="D219" s="30"/>
      <c r="E219" s="30"/>
      <c r="F219" s="30"/>
      <c r="G219" s="30"/>
      <c r="H219" s="30"/>
      <c r="I219" s="7"/>
      <c r="J219" s="7"/>
      <c r="K219" s="7"/>
      <c r="L219" s="7"/>
      <c r="M219" s="7"/>
      <c r="N219" s="7"/>
      <c r="O219" s="7"/>
      <c r="P219" s="7"/>
      <c r="Q219" s="7"/>
      <c r="R219" s="7"/>
      <c r="S219" s="7"/>
      <c r="T219" s="7"/>
      <c r="U219" s="7"/>
      <c r="V219" s="7"/>
      <c r="W219" s="7"/>
      <c r="X219" s="7"/>
      <c r="Y219" s="7"/>
    </row>
    <row r="220" spans="1:25" ht="15.75" customHeight="1">
      <c r="A220" s="7"/>
      <c r="B220" s="7"/>
      <c r="C220" s="30"/>
      <c r="D220" s="30"/>
      <c r="E220" s="30"/>
      <c r="F220" s="30"/>
      <c r="G220" s="30"/>
      <c r="H220" s="30"/>
      <c r="I220" s="7"/>
      <c r="J220" s="7"/>
      <c r="K220" s="7"/>
      <c r="L220" s="7"/>
      <c r="M220" s="7"/>
      <c r="N220" s="7"/>
      <c r="O220" s="7"/>
      <c r="P220" s="7"/>
      <c r="Q220" s="7"/>
      <c r="R220" s="7"/>
      <c r="S220" s="7"/>
      <c r="T220" s="7"/>
      <c r="U220" s="7"/>
      <c r="V220" s="7"/>
      <c r="W220" s="7"/>
      <c r="X220" s="7"/>
      <c r="Y220" s="7"/>
    </row>
    <row r="221" spans="1:25" ht="15.75" customHeight="1">
      <c r="A221" s="7"/>
      <c r="B221" s="7"/>
      <c r="C221" s="30"/>
      <c r="D221" s="30"/>
      <c r="E221" s="30"/>
      <c r="F221" s="30"/>
      <c r="G221" s="30"/>
      <c r="H221" s="30"/>
      <c r="I221" s="7"/>
      <c r="J221" s="7"/>
      <c r="K221" s="7"/>
      <c r="L221" s="7"/>
      <c r="M221" s="7"/>
      <c r="N221" s="7"/>
      <c r="O221" s="7"/>
      <c r="P221" s="7"/>
      <c r="Q221" s="7"/>
      <c r="R221" s="7"/>
      <c r="S221" s="7"/>
      <c r="T221" s="7"/>
      <c r="U221" s="7"/>
      <c r="V221" s="7"/>
      <c r="W221" s="7"/>
      <c r="X221" s="7"/>
      <c r="Y221" s="7"/>
    </row>
    <row r="222" spans="1:25" ht="15.75" customHeight="1">
      <c r="A222" s="7"/>
      <c r="B222" s="7"/>
      <c r="C222" s="30"/>
      <c r="D222" s="30"/>
      <c r="E222" s="30"/>
      <c r="F222" s="30"/>
      <c r="G222" s="30"/>
      <c r="H222" s="30"/>
      <c r="I222" s="7"/>
      <c r="J222" s="7"/>
      <c r="K222" s="7"/>
      <c r="L222" s="7"/>
      <c r="M222" s="7"/>
      <c r="N222" s="7"/>
      <c r="O222" s="7"/>
      <c r="P222" s="7"/>
      <c r="Q222" s="7"/>
      <c r="R222" s="7"/>
      <c r="S222" s="7"/>
      <c r="T222" s="7"/>
      <c r="U222" s="7"/>
      <c r="V222" s="7"/>
      <c r="W222" s="7"/>
      <c r="X222" s="7"/>
      <c r="Y222" s="7"/>
    </row>
    <row r="223" spans="1:25" ht="15.75" customHeight="1">
      <c r="A223" s="7"/>
      <c r="B223" s="7"/>
      <c r="C223" s="30"/>
      <c r="D223" s="30"/>
      <c r="E223" s="30"/>
      <c r="F223" s="30"/>
      <c r="G223" s="30"/>
      <c r="H223" s="30"/>
      <c r="I223" s="7"/>
      <c r="J223" s="7"/>
      <c r="K223" s="7"/>
      <c r="L223" s="7"/>
      <c r="M223" s="7"/>
      <c r="N223" s="7"/>
      <c r="O223" s="7"/>
      <c r="P223" s="7"/>
      <c r="Q223" s="7"/>
      <c r="R223" s="7"/>
      <c r="S223" s="7"/>
      <c r="T223" s="7"/>
      <c r="U223" s="7"/>
      <c r="V223" s="7"/>
      <c r="W223" s="7"/>
      <c r="X223" s="7"/>
      <c r="Y223" s="7"/>
    </row>
    <row r="224" spans="1:25" ht="15.75" customHeight="1">
      <c r="A224" s="7"/>
      <c r="B224" s="7"/>
      <c r="C224" s="30"/>
      <c r="D224" s="30"/>
      <c r="E224" s="30"/>
      <c r="F224" s="30"/>
      <c r="G224" s="30"/>
      <c r="H224" s="30"/>
      <c r="I224" s="7"/>
      <c r="J224" s="7"/>
      <c r="K224" s="7"/>
      <c r="L224" s="7"/>
      <c r="M224" s="7"/>
      <c r="N224" s="7"/>
      <c r="O224" s="7"/>
      <c r="P224" s="7"/>
      <c r="Q224" s="7"/>
      <c r="R224" s="7"/>
      <c r="S224" s="7"/>
      <c r="T224" s="7"/>
      <c r="U224" s="7"/>
      <c r="V224" s="7"/>
      <c r="W224" s="7"/>
      <c r="X224" s="7"/>
      <c r="Y224" s="7"/>
    </row>
    <row r="225" spans="1:25" ht="15.75" customHeight="1">
      <c r="A225" s="7"/>
      <c r="B225" s="7"/>
      <c r="C225" s="30"/>
      <c r="D225" s="30"/>
      <c r="E225" s="30"/>
      <c r="F225" s="30"/>
      <c r="G225" s="30"/>
      <c r="H225" s="30"/>
      <c r="I225" s="7"/>
      <c r="J225" s="7"/>
      <c r="K225" s="7"/>
      <c r="L225" s="7"/>
      <c r="M225" s="7"/>
      <c r="N225" s="7"/>
      <c r="O225" s="7"/>
      <c r="P225" s="7"/>
      <c r="Q225" s="7"/>
      <c r="R225" s="7"/>
      <c r="S225" s="7"/>
      <c r="T225" s="7"/>
      <c r="U225" s="7"/>
      <c r="V225" s="7"/>
      <c r="W225" s="7"/>
      <c r="X225" s="7"/>
      <c r="Y225" s="7"/>
    </row>
    <row r="226" spans="1:25" ht="15.75" customHeight="1">
      <c r="A226" s="7"/>
      <c r="B226" s="7"/>
      <c r="C226" s="30"/>
      <c r="D226" s="30"/>
      <c r="E226" s="30"/>
      <c r="F226" s="30"/>
      <c r="G226" s="30"/>
      <c r="H226" s="30"/>
      <c r="I226" s="7"/>
      <c r="J226" s="7"/>
      <c r="K226" s="7"/>
      <c r="L226" s="7"/>
      <c r="M226" s="7"/>
      <c r="N226" s="7"/>
      <c r="O226" s="7"/>
      <c r="P226" s="7"/>
      <c r="Q226" s="7"/>
      <c r="R226" s="7"/>
      <c r="S226" s="7"/>
      <c r="T226" s="7"/>
      <c r="U226" s="7"/>
      <c r="V226" s="7"/>
      <c r="W226" s="7"/>
      <c r="X226" s="7"/>
      <c r="Y226" s="7"/>
    </row>
    <row r="227" spans="1:25" ht="15.75" customHeight="1">
      <c r="A227" s="7"/>
      <c r="B227" s="7"/>
      <c r="C227" s="30"/>
      <c r="D227" s="30"/>
      <c r="E227" s="30"/>
      <c r="F227" s="30"/>
      <c r="G227" s="30"/>
      <c r="H227" s="30"/>
      <c r="I227" s="7"/>
      <c r="J227" s="7"/>
      <c r="K227" s="7"/>
      <c r="L227" s="7"/>
      <c r="M227" s="7"/>
      <c r="N227" s="7"/>
      <c r="O227" s="7"/>
      <c r="P227" s="7"/>
      <c r="Q227" s="7"/>
      <c r="R227" s="7"/>
      <c r="S227" s="7"/>
      <c r="T227" s="7"/>
      <c r="U227" s="7"/>
      <c r="V227" s="7"/>
      <c r="W227" s="7"/>
      <c r="X227" s="7"/>
      <c r="Y227" s="7"/>
    </row>
    <row r="228" spans="1:25" ht="15.75" customHeight="1">
      <c r="A228" s="7"/>
      <c r="B228" s="7"/>
      <c r="C228" s="30"/>
      <c r="D228" s="30"/>
      <c r="E228" s="30"/>
      <c r="F228" s="30"/>
      <c r="G228" s="30"/>
      <c r="H228" s="30"/>
      <c r="I228" s="7"/>
      <c r="J228" s="7"/>
      <c r="K228" s="7"/>
      <c r="L228" s="7"/>
      <c r="M228" s="7"/>
      <c r="N228" s="7"/>
      <c r="O228" s="7"/>
      <c r="P228" s="7"/>
      <c r="Q228" s="7"/>
      <c r="R228" s="7"/>
      <c r="S228" s="7"/>
      <c r="T228" s="7"/>
      <c r="U228" s="7"/>
      <c r="V228" s="7"/>
      <c r="W228" s="7"/>
      <c r="X228" s="7"/>
      <c r="Y228" s="7"/>
    </row>
    <row r="229" spans="1:25" ht="15.75" customHeight="1">
      <c r="A229" s="7"/>
      <c r="B229" s="7"/>
      <c r="C229" s="30"/>
      <c r="D229" s="30"/>
      <c r="E229" s="30"/>
      <c r="F229" s="30"/>
      <c r="G229" s="30"/>
      <c r="H229" s="30"/>
      <c r="I229" s="7"/>
      <c r="J229" s="7"/>
      <c r="K229" s="7"/>
      <c r="L229" s="7"/>
      <c r="M229" s="7"/>
      <c r="N229" s="7"/>
      <c r="O229" s="7"/>
      <c r="P229" s="7"/>
      <c r="Q229" s="7"/>
      <c r="R229" s="7"/>
      <c r="S229" s="7"/>
      <c r="T229" s="7"/>
      <c r="U229" s="7"/>
      <c r="V229" s="7"/>
      <c r="W229" s="7"/>
      <c r="X229" s="7"/>
      <c r="Y229" s="7"/>
    </row>
    <row r="230" spans="1:25" ht="15.75" customHeight="1">
      <c r="A230" s="7"/>
      <c r="B230" s="7"/>
      <c r="C230" s="30"/>
      <c r="D230" s="30"/>
      <c r="E230" s="30"/>
      <c r="F230" s="30"/>
      <c r="G230" s="30"/>
      <c r="H230" s="30"/>
      <c r="I230" s="7"/>
      <c r="J230" s="7"/>
      <c r="K230" s="7"/>
      <c r="L230" s="7"/>
      <c r="M230" s="7"/>
      <c r="N230" s="7"/>
      <c r="O230" s="7"/>
      <c r="P230" s="7"/>
      <c r="Q230" s="7"/>
      <c r="R230" s="7"/>
      <c r="S230" s="7"/>
      <c r="T230" s="7"/>
      <c r="U230" s="7"/>
      <c r="V230" s="7"/>
      <c r="W230" s="7"/>
      <c r="X230" s="7"/>
      <c r="Y230" s="7"/>
    </row>
    <row r="231" spans="1:25" ht="15.75" customHeight="1">
      <c r="A231" s="7"/>
      <c r="B231" s="7"/>
      <c r="C231" s="30"/>
      <c r="D231" s="30"/>
      <c r="E231" s="30"/>
      <c r="F231" s="30"/>
      <c r="G231" s="30"/>
      <c r="H231" s="30"/>
      <c r="I231" s="7"/>
      <c r="J231" s="7"/>
      <c r="K231" s="7"/>
      <c r="L231" s="7"/>
      <c r="M231" s="7"/>
      <c r="N231" s="7"/>
      <c r="O231" s="7"/>
      <c r="P231" s="7"/>
      <c r="Q231" s="7"/>
      <c r="R231" s="7"/>
      <c r="S231" s="7"/>
      <c r="T231" s="7"/>
      <c r="U231" s="7"/>
      <c r="V231" s="7"/>
      <c r="W231" s="7"/>
      <c r="X231" s="7"/>
      <c r="Y231" s="7"/>
    </row>
    <row r="232" spans="1:25" ht="15.75" customHeight="1">
      <c r="A232" s="7"/>
      <c r="B232" s="7"/>
      <c r="C232" s="30"/>
      <c r="D232" s="30"/>
      <c r="E232" s="30"/>
      <c r="F232" s="30"/>
      <c r="G232" s="30"/>
      <c r="H232" s="30"/>
      <c r="I232" s="7"/>
      <c r="J232" s="7"/>
      <c r="K232" s="7"/>
      <c r="L232" s="7"/>
      <c r="M232" s="7"/>
      <c r="N232" s="7"/>
      <c r="O232" s="7"/>
      <c r="P232" s="7"/>
      <c r="Q232" s="7"/>
      <c r="R232" s="7"/>
      <c r="S232" s="7"/>
      <c r="T232" s="7"/>
      <c r="U232" s="7"/>
      <c r="V232" s="7"/>
      <c r="W232" s="7"/>
      <c r="X232" s="7"/>
      <c r="Y232" s="7"/>
    </row>
    <row r="233" spans="1:25" ht="15.75" customHeight="1">
      <c r="A233" s="7"/>
      <c r="B233" s="7"/>
      <c r="C233" s="30"/>
      <c r="D233" s="30"/>
      <c r="E233" s="30"/>
      <c r="F233" s="30"/>
      <c r="G233" s="30"/>
      <c r="H233" s="30"/>
      <c r="I233" s="7"/>
      <c r="J233" s="7"/>
      <c r="K233" s="7"/>
      <c r="L233" s="7"/>
      <c r="M233" s="7"/>
      <c r="N233" s="7"/>
      <c r="O233" s="7"/>
      <c r="P233" s="7"/>
      <c r="Q233" s="7"/>
      <c r="R233" s="7"/>
      <c r="S233" s="7"/>
      <c r="T233" s="7"/>
      <c r="U233" s="7"/>
      <c r="V233" s="7"/>
      <c r="W233" s="7"/>
      <c r="X233" s="7"/>
      <c r="Y233" s="7"/>
    </row>
    <row r="234" spans="1:25" ht="15.75" customHeight="1">
      <c r="A234" s="7"/>
      <c r="B234" s="7"/>
      <c r="C234" s="30"/>
      <c r="D234" s="30"/>
      <c r="E234" s="30"/>
      <c r="F234" s="30"/>
      <c r="G234" s="30"/>
      <c r="H234" s="30"/>
      <c r="I234" s="7"/>
      <c r="J234" s="7"/>
      <c r="K234" s="7"/>
      <c r="L234" s="7"/>
      <c r="M234" s="7"/>
      <c r="N234" s="7"/>
      <c r="O234" s="7"/>
      <c r="P234" s="7"/>
      <c r="Q234" s="7"/>
      <c r="R234" s="7"/>
      <c r="S234" s="7"/>
      <c r="T234" s="7"/>
      <c r="U234" s="7"/>
      <c r="V234" s="7"/>
      <c r="W234" s="7"/>
      <c r="X234" s="7"/>
      <c r="Y234" s="7"/>
    </row>
    <row r="235" spans="1:25" ht="15.75" customHeight="1">
      <c r="A235" s="7"/>
      <c r="B235" s="7"/>
      <c r="C235" s="30"/>
      <c r="D235" s="30"/>
      <c r="E235" s="30"/>
      <c r="F235" s="30"/>
      <c r="G235" s="30"/>
      <c r="H235" s="30"/>
      <c r="I235" s="7"/>
      <c r="J235" s="7"/>
      <c r="K235" s="7"/>
      <c r="L235" s="7"/>
      <c r="M235" s="7"/>
      <c r="N235" s="7"/>
      <c r="O235" s="7"/>
      <c r="P235" s="7"/>
      <c r="Q235" s="7"/>
      <c r="R235" s="7"/>
      <c r="S235" s="7"/>
      <c r="T235" s="7"/>
      <c r="U235" s="7"/>
      <c r="V235" s="7"/>
      <c r="W235" s="7"/>
      <c r="X235" s="7"/>
      <c r="Y235" s="7"/>
    </row>
    <row r="236" spans="1:25" ht="15.75" customHeight="1">
      <c r="A236" s="7"/>
      <c r="B236" s="7"/>
      <c r="C236" s="30"/>
      <c r="D236" s="30"/>
      <c r="E236" s="30"/>
      <c r="F236" s="30"/>
      <c r="G236" s="30"/>
      <c r="H236" s="30"/>
      <c r="I236" s="7"/>
      <c r="J236" s="7"/>
      <c r="K236" s="7"/>
      <c r="L236" s="7"/>
      <c r="M236" s="7"/>
      <c r="N236" s="7"/>
      <c r="O236" s="7"/>
      <c r="P236" s="7"/>
      <c r="Q236" s="7"/>
      <c r="R236" s="7"/>
      <c r="S236" s="7"/>
      <c r="T236" s="7"/>
      <c r="U236" s="7"/>
      <c r="V236" s="7"/>
      <c r="W236" s="7"/>
      <c r="X236" s="7"/>
      <c r="Y236" s="7"/>
    </row>
    <row r="237" spans="1:25" ht="15.75" customHeight="1">
      <c r="A237" s="7"/>
      <c r="B237" s="7"/>
      <c r="C237" s="30"/>
      <c r="D237" s="30"/>
      <c r="E237" s="30"/>
      <c r="F237" s="30"/>
      <c r="G237" s="30"/>
      <c r="H237" s="30"/>
      <c r="I237" s="7"/>
      <c r="J237" s="7"/>
      <c r="K237" s="7"/>
      <c r="L237" s="7"/>
      <c r="M237" s="7"/>
      <c r="N237" s="7"/>
      <c r="O237" s="7"/>
      <c r="P237" s="7"/>
      <c r="Q237" s="7"/>
      <c r="R237" s="7"/>
      <c r="S237" s="7"/>
      <c r="T237" s="7"/>
      <c r="U237" s="7"/>
      <c r="V237" s="7"/>
      <c r="W237" s="7"/>
      <c r="X237" s="7"/>
      <c r="Y237" s="7"/>
    </row>
    <row r="238" spans="1:25" ht="15.75" customHeight="1">
      <c r="A238" s="7"/>
      <c r="B238" s="7"/>
      <c r="C238" s="30"/>
      <c r="D238" s="30"/>
      <c r="E238" s="30"/>
      <c r="F238" s="30"/>
      <c r="G238" s="30"/>
      <c r="H238" s="30"/>
      <c r="I238" s="7"/>
      <c r="J238" s="7"/>
      <c r="K238" s="7"/>
      <c r="L238" s="7"/>
      <c r="M238" s="7"/>
      <c r="N238" s="7"/>
      <c r="O238" s="7"/>
      <c r="P238" s="7"/>
      <c r="Q238" s="7"/>
      <c r="R238" s="7"/>
      <c r="S238" s="7"/>
      <c r="T238" s="7"/>
      <c r="U238" s="7"/>
      <c r="V238" s="7"/>
      <c r="W238" s="7"/>
      <c r="X238" s="7"/>
      <c r="Y238" s="7"/>
    </row>
    <row r="239" spans="1:25" ht="15.75" customHeight="1">
      <c r="A239" s="7"/>
      <c r="B239" s="7"/>
      <c r="C239" s="30"/>
      <c r="D239" s="30"/>
      <c r="E239" s="30"/>
      <c r="F239" s="30"/>
      <c r="G239" s="30"/>
      <c r="H239" s="30"/>
      <c r="I239" s="7"/>
      <c r="J239" s="7"/>
      <c r="K239" s="7"/>
      <c r="L239" s="7"/>
      <c r="M239" s="7"/>
      <c r="N239" s="7"/>
      <c r="O239" s="7"/>
      <c r="P239" s="7"/>
      <c r="Q239" s="7"/>
      <c r="R239" s="7"/>
      <c r="S239" s="7"/>
      <c r="T239" s="7"/>
      <c r="U239" s="7"/>
      <c r="V239" s="7"/>
      <c r="W239" s="7"/>
      <c r="X239" s="7"/>
      <c r="Y239" s="7"/>
    </row>
    <row r="240" spans="1:25" ht="15.75" customHeight="1">
      <c r="A240" s="7"/>
      <c r="B240" s="7"/>
      <c r="C240" s="30"/>
      <c r="D240" s="30"/>
      <c r="E240" s="30"/>
      <c r="F240" s="30"/>
      <c r="G240" s="30"/>
      <c r="H240" s="30"/>
      <c r="I240" s="7"/>
      <c r="J240" s="7"/>
      <c r="K240" s="7"/>
      <c r="L240" s="7"/>
      <c r="M240" s="7"/>
      <c r="N240" s="7"/>
      <c r="O240" s="7"/>
      <c r="P240" s="7"/>
      <c r="Q240" s="7"/>
      <c r="R240" s="7"/>
      <c r="S240" s="7"/>
      <c r="T240" s="7"/>
      <c r="U240" s="7"/>
      <c r="V240" s="7"/>
      <c r="W240" s="7"/>
      <c r="X240" s="7"/>
      <c r="Y240" s="7"/>
    </row>
    <row r="241" spans="1:25" ht="15.75" customHeight="1">
      <c r="A241" s="7"/>
      <c r="B241" s="7"/>
      <c r="C241" s="30"/>
      <c r="D241" s="30"/>
      <c r="E241" s="30"/>
      <c r="F241" s="30"/>
      <c r="G241" s="30"/>
      <c r="H241" s="30"/>
      <c r="I241" s="7"/>
      <c r="J241" s="7"/>
      <c r="K241" s="7"/>
      <c r="L241" s="7"/>
      <c r="M241" s="7"/>
      <c r="N241" s="7"/>
      <c r="O241" s="7"/>
      <c r="P241" s="7"/>
      <c r="Q241" s="7"/>
      <c r="R241" s="7"/>
      <c r="S241" s="7"/>
      <c r="T241" s="7"/>
      <c r="U241" s="7"/>
      <c r="V241" s="7"/>
      <c r="W241" s="7"/>
      <c r="X241" s="7"/>
      <c r="Y241" s="7"/>
    </row>
    <row r="242" spans="1:25" ht="15.75" customHeight="1">
      <c r="A242" s="7"/>
      <c r="B242" s="7"/>
      <c r="C242" s="30"/>
      <c r="D242" s="30"/>
      <c r="E242" s="30"/>
      <c r="F242" s="30"/>
      <c r="G242" s="30"/>
      <c r="H242" s="30"/>
      <c r="I242" s="7"/>
      <c r="J242" s="7"/>
      <c r="K242" s="7"/>
      <c r="L242" s="7"/>
      <c r="M242" s="7"/>
      <c r="N242" s="7"/>
      <c r="O242" s="7"/>
      <c r="P242" s="7"/>
      <c r="Q242" s="7"/>
      <c r="R242" s="7"/>
      <c r="S242" s="7"/>
      <c r="T242" s="7"/>
      <c r="U242" s="7"/>
      <c r="V242" s="7"/>
      <c r="W242" s="7"/>
      <c r="X242" s="7"/>
      <c r="Y242" s="7"/>
    </row>
    <row r="243" spans="1:25" ht="15.75" customHeight="1">
      <c r="A243" s="7"/>
      <c r="B243" s="7"/>
      <c r="C243" s="30"/>
      <c r="D243" s="30"/>
      <c r="E243" s="30"/>
      <c r="F243" s="30"/>
      <c r="G243" s="30"/>
      <c r="H243" s="30"/>
      <c r="I243" s="7"/>
      <c r="J243" s="7"/>
      <c r="K243" s="7"/>
      <c r="L243" s="7"/>
      <c r="M243" s="7"/>
      <c r="N243" s="7"/>
      <c r="O243" s="7"/>
      <c r="P243" s="7"/>
      <c r="Q243" s="7"/>
      <c r="R243" s="7"/>
      <c r="S243" s="7"/>
      <c r="T243" s="7"/>
      <c r="U243" s="7"/>
      <c r="V243" s="7"/>
      <c r="W243" s="7"/>
      <c r="X243" s="7"/>
      <c r="Y243" s="7"/>
    </row>
    <row r="244" spans="1:25" ht="15.75" customHeight="1">
      <c r="A244" s="7"/>
      <c r="B244" s="7"/>
      <c r="C244" s="30"/>
      <c r="D244" s="30"/>
      <c r="E244" s="30"/>
      <c r="F244" s="30"/>
      <c r="G244" s="30"/>
      <c r="H244" s="30"/>
      <c r="I244" s="7"/>
      <c r="J244" s="7"/>
      <c r="K244" s="7"/>
      <c r="L244" s="7"/>
      <c r="M244" s="7"/>
      <c r="N244" s="7"/>
      <c r="O244" s="7"/>
      <c r="P244" s="7"/>
      <c r="Q244" s="7"/>
      <c r="R244" s="7"/>
      <c r="S244" s="7"/>
      <c r="T244" s="7"/>
      <c r="U244" s="7"/>
      <c r="V244" s="7"/>
      <c r="W244" s="7"/>
      <c r="X244" s="7"/>
      <c r="Y244" s="7"/>
    </row>
    <row r="245" spans="1:25" ht="15.75" customHeight="1">
      <c r="A245" s="7"/>
      <c r="B245" s="7"/>
      <c r="C245" s="30"/>
      <c r="D245" s="30"/>
      <c r="E245" s="30"/>
      <c r="F245" s="30"/>
      <c r="G245" s="30"/>
      <c r="H245" s="30"/>
      <c r="I245" s="7"/>
      <c r="J245" s="7"/>
      <c r="K245" s="7"/>
      <c r="L245" s="7"/>
      <c r="M245" s="7"/>
      <c r="N245" s="7"/>
      <c r="O245" s="7"/>
      <c r="P245" s="7"/>
      <c r="Q245" s="7"/>
      <c r="R245" s="7"/>
      <c r="S245" s="7"/>
      <c r="T245" s="7"/>
      <c r="U245" s="7"/>
      <c r="V245" s="7"/>
      <c r="W245" s="7"/>
      <c r="X245" s="7"/>
      <c r="Y245" s="7"/>
    </row>
    <row r="246" spans="1:25" ht="15.75" customHeight="1">
      <c r="A246" s="7"/>
      <c r="B246" s="7"/>
      <c r="C246" s="30"/>
      <c r="D246" s="30"/>
      <c r="E246" s="30"/>
      <c r="F246" s="30"/>
      <c r="G246" s="30"/>
      <c r="H246" s="30"/>
      <c r="I246" s="7"/>
      <c r="J246" s="7"/>
      <c r="K246" s="7"/>
      <c r="L246" s="7"/>
      <c r="M246" s="7"/>
      <c r="N246" s="7"/>
      <c r="O246" s="7"/>
      <c r="P246" s="7"/>
      <c r="Q246" s="7"/>
      <c r="R246" s="7"/>
      <c r="S246" s="7"/>
      <c r="T246" s="7"/>
      <c r="U246" s="7"/>
      <c r="V246" s="7"/>
      <c r="W246" s="7"/>
      <c r="X246" s="7"/>
      <c r="Y246" s="7"/>
    </row>
    <row r="247" spans="1:25" ht="15.75" customHeight="1">
      <c r="A247" s="7"/>
      <c r="B247" s="7"/>
      <c r="C247" s="30"/>
      <c r="D247" s="30"/>
      <c r="E247" s="30"/>
      <c r="F247" s="30"/>
      <c r="G247" s="30"/>
      <c r="H247" s="30"/>
      <c r="I247" s="7"/>
      <c r="J247" s="7"/>
      <c r="K247" s="7"/>
      <c r="L247" s="7"/>
      <c r="M247" s="7"/>
      <c r="N247" s="7"/>
      <c r="O247" s="7"/>
      <c r="P247" s="7"/>
      <c r="Q247" s="7"/>
      <c r="R247" s="7"/>
      <c r="S247" s="7"/>
      <c r="T247" s="7"/>
      <c r="U247" s="7"/>
      <c r="V247" s="7"/>
      <c r="W247" s="7"/>
      <c r="X247" s="7"/>
      <c r="Y247" s="7"/>
    </row>
    <row r="248" spans="1:25" ht="15.75" customHeight="1">
      <c r="A248" s="7"/>
      <c r="B248" s="7"/>
      <c r="C248" s="30"/>
      <c r="D248" s="30"/>
      <c r="E248" s="30"/>
      <c r="F248" s="30"/>
      <c r="G248" s="30"/>
      <c r="H248" s="30"/>
      <c r="I248" s="7"/>
      <c r="J248" s="7"/>
      <c r="K248" s="7"/>
      <c r="L248" s="7"/>
      <c r="M248" s="7"/>
      <c r="N248" s="7"/>
      <c r="O248" s="7"/>
      <c r="P248" s="7"/>
      <c r="Q248" s="7"/>
      <c r="R248" s="7"/>
      <c r="S248" s="7"/>
      <c r="T248" s="7"/>
      <c r="U248" s="7"/>
      <c r="V248" s="7"/>
      <c r="W248" s="7"/>
      <c r="X248" s="7"/>
      <c r="Y248" s="7"/>
    </row>
    <row r="249" spans="1:25" ht="15.75" customHeight="1">
      <c r="A249" s="7"/>
      <c r="B249" s="7"/>
      <c r="C249" s="30"/>
      <c r="D249" s="30"/>
      <c r="E249" s="30"/>
      <c r="F249" s="30"/>
      <c r="G249" s="30"/>
      <c r="H249" s="30"/>
      <c r="I249" s="7"/>
      <c r="J249" s="7"/>
      <c r="K249" s="7"/>
      <c r="L249" s="7"/>
      <c r="M249" s="7"/>
      <c r="N249" s="7"/>
      <c r="O249" s="7"/>
      <c r="P249" s="7"/>
      <c r="Q249" s="7"/>
      <c r="R249" s="7"/>
      <c r="S249" s="7"/>
      <c r="T249" s="7"/>
      <c r="U249" s="7"/>
      <c r="V249" s="7"/>
      <c r="W249" s="7"/>
      <c r="X249" s="7"/>
      <c r="Y249" s="7"/>
    </row>
    <row r="250" spans="1:25" ht="15.75" customHeight="1">
      <c r="A250" s="7"/>
      <c r="B250" s="7"/>
      <c r="C250" s="30"/>
      <c r="D250" s="30"/>
      <c r="E250" s="30"/>
      <c r="F250" s="30"/>
      <c r="G250" s="30"/>
      <c r="H250" s="30"/>
      <c r="I250" s="7"/>
      <c r="J250" s="7"/>
      <c r="K250" s="7"/>
      <c r="L250" s="7"/>
      <c r="M250" s="7"/>
      <c r="N250" s="7"/>
      <c r="O250" s="7"/>
      <c r="P250" s="7"/>
      <c r="Q250" s="7"/>
      <c r="R250" s="7"/>
      <c r="S250" s="7"/>
      <c r="T250" s="7"/>
      <c r="U250" s="7"/>
      <c r="V250" s="7"/>
      <c r="W250" s="7"/>
      <c r="X250" s="7"/>
      <c r="Y250" s="7"/>
    </row>
    <row r="251" spans="1:25" ht="15.75" customHeight="1">
      <c r="A251" s="7"/>
      <c r="B251" s="7"/>
      <c r="C251" s="30"/>
      <c r="D251" s="30"/>
      <c r="E251" s="30"/>
      <c r="F251" s="30"/>
      <c r="G251" s="30"/>
      <c r="H251" s="30"/>
      <c r="I251" s="7"/>
      <c r="J251" s="7"/>
      <c r="K251" s="7"/>
      <c r="L251" s="7"/>
      <c r="M251" s="7"/>
      <c r="N251" s="7"/>
      <c r="O251" s="7"/>
      <c r="P251" s="7"/>
      <c r="Q251" s="7"/>
      <c r="R251" s="7"/>
      <c r="S251" s="7"/>
      <c r="T251" s="7"/>
      <c r="U251" s="7"/>
      <c r="V251" s="7"/>
      <c r="W251" s="7"/>
      <c r="X251" s="7"/>
      <c r="Y251" s="7"/>
    </row>
    <row r="252" spans="1:25" ht="15.75" customHeight="1">
      <c r="A252" s="7"/>
      <c r="B252" s="7"/>
      <c r="C252" s="30"/>
      <c r="D252" s="30"/>
      <c r="E252" s="30"/>
      <c r="F252" s="30"/>
      <c r="G252" s="30"/>
      <c r="H252" s="30"/>
      <c r="I252" s="7"/>
      <c r="J252" s="7"/>
      <c r="K252" s="7"/>
      <c r="L252" s="7"/>
      <c r="M252" s="7"/>
      <c r="N252" s="7"/>
      <c r="O252" s="7"/>
      <c r="P252" s="7"/>
      <c r="Q252" s="7"/>
      <c r="R252" s="7"/>
      <c r="S252" s="7"/>
      <c r="T252" s="7"/>
      <c r="U252" s="7"/>
      <c r="V252" s="7"/>
      <c r="W252" s="7"/>
      <c r="X252" s="7"/>
      <c r="Y252" s="7"/>
    </row>
    <row r="253" spans="1:25" ht="15.75" customHeight="1">
      <c r="A253" s="7"/>
      <c r="B253" s="7"/>
      <c r="C253" s="30"/>
      <c r="D253" s="30"/>
      <c r="E253" s="30"/>
      <c r="F253" s="30"/>
      <c r="G253" s="30"/>
      <c r="H253" s="30"/>
      <c r="I253" s="7"/>
      <c r="J253" s="7"/>
      <c r="K253" s="7"/>
      <c r="L253" s="7"/>
      <c r="M253" s="7"/>
      <c r="N253" s="7"/>
      <c r="O253" s="7"/>
      <c r="P253" s="7"/>
      <c r="Q253" s="7"/>
      <c r="R253" s="7"/>
      <c r="S253" s="7"/>
      <c r="T253" s="7"/>
      <c r="U253" s="7"/>
      <c r="V253" s="7"/>
      <c r="W253" s="7"/>
      <c r="X253" s="7"/>
      <c r="Y253" s="7"/>
    </row>
    <row r="254" spans="1:25" ht="15.75" customHeight="1">
      <c r="A254" s="7"/>
      <c r="B254" s="7"/>
      <c r="C254" s="30"/>
      <c r="D254" s="30"/>
      <c r="E254" s="30"/>
      <c r="F254" s="30"/>
      <c r="G254" s="30"/>
      <c r="H254" s="30"/>
      <c r="I254" s="7"/>
      <c r="J254" s="7"/>
      <c r="K254" s="7"/>
      <c r="L254" s="7"/>
      <c r="M254" s="7"/>
      <c r="N254" s="7"/>
      <c r="O254" s="7"/>
      <c r="P254" s="7"/>
      <c r="Q254" s="7"/>
      <c r="R254" s="7"/>
      <c r="S254" s="7"/>
      <c r="T254" s="7"/>
      <c r="U254" s="7"/>
      <c r="V254" s="7"/>
      <c r="W254" s="7"/>
      <c r="X254" s="7"/>
      <c r="Y254" s="7"/>
    </row>
    <row r="255" spans="1:25" ht="15.75" customHeight="1">
      <c r="A255" s="7"/>
      <c r="B255" s="7"/>
      <c r="C255" s="30"/>
      <c r="D255" s="30"/>
      <c r="E255" s="30"/>
      <c r="F255" s="30"/>
      <c r="G255" s="30"/>
      <c r="H255" s="30"/>
      <c r="I255" s="7"/>
      <c r="J255" s="7"/>
      <c r="K255" s="7"/>
      <c r="L255" s="7"/>
      <c r="M255" s="7"/>
      <c r="N255" s="7"/>
      <c r="O255" s="7"/>
      <c r="P255" s="7"/>
      <c r="Q255" s="7"/>
      <c r="R255" s="7"/>
      <c r="S255" s="7"/>
      <c r="T255" s="7"/>
      <c r="U255" s="7"/>
      <c r="V255" s="7"/>
      <c r="W255" s="7"/>
      <c r="X255" s="7"/>
      <c r="Y255" s="7"/>
    </row>
    <row r="256" spans="1:25" ht="15.75" customHeight="1">
      <c r="A256" s="7"/>
      <c r="B256" s="7"/>
      <c r="C256" s="30"/>
      <c r="D256" s="30"/>
      <c r="E256" s="30"/>
      <c r="F256" s="30"/>
      <c r="G256" s="30"/>
      <c r="H256" s="30"/>
      <c r="I256" s="7"/>
      <c r="J256" s="7"/>
      <c r="K256" s="7"/>
      <c r="L256" s="7"/>
      <c r="M256" s="7"/>
      <c r="N256" s="7"/>
      <c r="O256" s="7"/>
      <c r="P256" s="7"/>
      <c r="Q256" s="7"/>
      <c r="R256" s="7"/>
      <c r="S256" s="7"/>
      <c r="T256" s="7"/>
      <c r="U256" s="7"/>
      <c r="V256" s="7"/>
      <c r="W256" s="7"/>
      <c r="X256" s="7"/>
      <c r="Y256" s="7"/>
    </row>
    <row r="257" spans="1:25" ht="15.75" customHeight="1">
      <c r="A257" s="7"/>
      <c r="B257" s="7"/>
      <c r="C257" s="30"/>
      <c r="D257" s="30"/>
      <c r="E257" s="30"/>
      <c r="F257" s="30"/>
      <c r="G257" s="30"/>
      <c r="H257" s="30"/>
      <c r="I257" s="7"/>
      <c r="J257" s="7"/>
      <c r="K257" s="7"/>
      <c r="L257" s="7"/>
      <c r="M257" s="7"/>
      <c r="N257" s="7"/>
      <c r="O257" s="7"/>
      <c r="P257" s="7"/>
      <c r="Q257" s="7"/>
      <c r="R257" s="7"/>
      <c r="S257" s="7"/>
      <c r="T257" s="7"/>
      <c r="U257" s="7"/>
      <c r="V257" s="7"/>
      <c r="W257" s="7"/>
      <c r="X257" s="7"/>
      <c r="Y257" s="7"/>
    </row>
    <row r="258" spans="1:25" ht="15.75" customHeight="1">
      <c r="A258" s="7"/>
      <c r="B258" s="7"/>
      <c r="C258" s="30"/>
      <c r="D258" s="30"/>
      <c r="E258" s="30"/>
      <c r="F258" s="30"/>
      <c r="G258" s="30"/>
      <c r="H258" s="30"/>
      <c r="I258" s="7"/>
      <c r="J258" s="7"/>
      <c r="K258" s="7"/>
      <c r="L258" s="7"/>
      <c r="M258" s="7"/>
      <c r="N258" s="7"/>
      <c r="O258" s="7"/>
      <c r="P258" s="7"/>
      <c r="Q258" s="7"/>
      <c r="R258" s="7"/>
      <c r="S258" s="7"/>
      <c r="T258" s="7"/>
      <c r="U258" s="7"/>
      <c r="V258" s="7"/>
      <c r="W258" s="7"/>
      <c r="X258" s="7"/>
      <c r="Y258" s="7"/>
    </row>
    <row r="259" spans="1:25" ht="15.75" customHeight="1">
      <c r="A259" s="7"/>
      <c r="B259" s="7"/>
      <c r="C259" s="30"/>
      <c r="D259" s="30"/>
      <c r="E259" s="30"/>
      <c r="F259" s="30"/>
      <c r="G259" s="30"/>
      <c r="H259" s="30"/>
      <c r="I259" s="7"/>
      <c r="J259" s="7"/>
      <c r="K259" s="7"/>
      <c r="L259" s="7"/>
      <c r="M259" s="7"/>
      <c r="N259" s="7"/>
      <c r="O259" s="7"/>
      <c r="P259" s="7"/>
      <c r="Q259" s="7"/>
      <c r="R259" s="7"/>
      <c r="S259" s="7"/>
      <c r="T259" s="7"/>
      <c r="U259" s="7"/>
      <c r="V259" s="7"/>
      <c r="W259" s="7"/>
      <c r="X259" s="7"/>
      <c r="Y259" s="7"/>
    </row>
    <row r="260" spans="1:25" ht="15.75" customHeight="1">
      <c r="A260" s="7"/>
      <c r="B260" s="7"/>
      <c r="C260" s="30"/>
      <c r="D260" s="30"/>
      <c r="E260" s="30"/>
      <c r="F260" s="30"/>
      <c r="G260" s="30"/>
      <c r="H260" s="30"/>
      <c r="I260" s="7"/>
      <c r="J260" s="7"/>
      <c r="K260" s="7"/>
      <c r="L260" s="7"/>
      <c r="M260" s="7"/>
      <c r="N260" s="7"/>
      <c r="O260" s="7"/>
      <c r="P260" s="7"/>
      <c r="Q260" s="7"/>
      <c r="R260" s="7"/>
      <c r="S260" s="7"/>
      <c r="T260" s="7"/>
      <c r="U260" s="7"/>
      <c r="V260" s="7"/>
      <c r="W260" s="7"/>
      <c r="X260" s="7"/>
      <c r="Y260" s="7"/>
    </row>
    <row r="261" spans="1:25" ht="15.75" customHeight="1">
      <c r="A261" s="7"/>
      <c r="B261" s="7"/>
      <c r="C261" s="30"/>
      <c r="D261" s="30"/>
      <c r="E261" s="30"/>
      <c r="F261" s="30"/>
      <c r="G261" s="30"/>
      <c r="H261" s="30"/>
      <c r="I261" s="7"/>
      <c r="J261" s="7"/>
      <c r="K261" s="7"/>
      <c r="L261" s="7"/>
      <c r="M261" s="7"/>
      <c r="N261" s="7"/>
      <c r="O261" s="7"/>
      <c r="P261" s="7"/>
      <c r="Q261" s="7"/>
      <c r="R261" s="7"/>
      <c r="S261" s="7"/>
      <c r="T261" s="7"/>
      <c r="U261" s="7"/>
      <c r="V261" s="7"/>
      <c r="W261" s="7"/>
      <c r="X261" s="7"/>
      <c r="Y261" s="7"/>
    </row>
    <row r="262" spans="1:25" ht="15.75" customHeight="1">
      <c r="A262" s="7"/>
      <c r="B262" s="7"/>
      <c r="C262" s="30"/>
      <c r="D262" s="30"/>
      <c r="E262" s="30"/>
      <c r="F262" s="30"/>
      <c r="G262" s="30"/>
      <c r="H262" s="30"/>
      <c r="I262" s="7"/>
      <c r="J262" s="7"/>
      <c r="K262" s="7"/>
      <c r="L262" s="7"/>
      <c r="M262" s="7"/>
      <c r="N262" s="7"/>
      <c r="O262" s="7"/>
      <c r="P262" s="7"/>
      <c r="Q262" s="7"/>
      <c r="R262" s="7"/>
      <c r="S262" s="7"/>
      <c r="T262" s="7"/>
      <c r="U262" s="7"/>
      <c r="V262" s="7"/>
      <c r="W262" s="7"/>
      <c r="X262" s="7"/>
      <c r="Y262" s="7"/>
    </row>
    <row r="263" spans="1:25" ht="15.75" customHeight="1">
      <c r="A263" s="7"/>
      <c r="B263" s="7"/>
      <c r="C263" s="30"/>
      <c r="D263" s="30"/>
      <c r="E263" s="30"/>
      <c r="F263" s="30"/>
      <c r="G263" s="30"/>
      <c r="H263" s="30"/>
      <c r="I263" s="7"/>
      <c r="J263" s="7"/>
      <c r="K263" s="7"/>
      <c r="L263" s="7"/>
      <c r="M263" s="7"/>
      <c r="N263" s="7"/>
      <c r="O263" s="7"/>
      <c r="P263" s="7"/>
      <c r="Q263" s="7"/>
      <c r="R263" s="7"/>
      <c r="S263" s="7"/>
      <c r="T263" s="7"/>
      <c r="U263" s="7"/>
      <c r="V263" s="7"/>
      <c r="W263" s="7"/>
      <c r="X263" s="7"/>
      <c r="Y263" s="7"/>
    </row>
    <row r="264" spans="1:25" ht="15.75" customHeight="1">
      <c r="A264" s="7"/>
      <c r="B264" s="7"/>
      <c r="C264" s="30"/>
      <c r="D264" s="30"/>
      <c r="E264" s="30"/>
      <c r="F264" s="30"/>
      <c r="G264" s="30"/>
      <c r="H264" s="30"/>
      <c r="I264" s="7"/>
      <c r="J264" s="7"/>
      <c r="K264" s="7"/>
      <c r="L264" s="7"/>
      <c r="M264" s="7"/>
      <c r="N264" s="7"/>
      <c r="O264" s="7"/>
      <c r="P264" s="7"/>
      <c r="Q264" s="7"/>
      <c r="R264" s="7"/>
      <c r="S264" s="7"/>
      <c r="T264" s="7"/>
      <c r="U264" s="7"/>
      <c r="V264" s="7"/>
      <c r="W264" s="7"/>
      <c r="X264" s="7"/>
      <c r="Y264" s="7"/>
    </row>
    <row r="265" spans="1:25" ht="15.75" customHeight="1"/>
    <row r="266" spans="1:25" ht="15.75" customHeight="1"/>
    <row r="267" spans="1:25" ht="15.75" customHeight="1"/>
    <row r="268" spans="1:25" ht="15.75" customHeight="1"/>
    <row r="269" spans="1:25" ht="15.75" customHeight="1"/>
    <row r="270" spans="1:25" ht="15.75" customHeight="1"/>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2">
    <mergeCell ref="D2:H2"/>
    <mergeCell ref="I2:M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999"/>
  <sheetViews>
    <sheetView showGridLines="0" topLeftCell="A34" workbookViewId="0">
      <selection activeCell="O53" sqref="O53"/>
    </sheetView>
  </sheetViews>
  <sheetFormatPr defaultColWidth="10.1796875" defaultRowHeight="15" customHeight="1"/>
  <cols>
    <col min="1" max="1" width="2.453125" customWidth="1"/>
    <col min="2" max="2" width="38.453125" customWidth="1"/>
  </cols>
  <sheetData>
    <row r="1" spans="1:26" ht="15.6">
      <c r="A1" s="5" t="s">
        <v>280</v>
      </c>
      <c r="B1" s="7"/>
      <c r="C1" s="29"/>
      <c r="D1" s="30"/>
      <c r="E1" s="30"/>
      <c r="F1" s="30"/>
      <c r="G1" s="30"/>
      <c r="H1" s="30"/>
      <c r="I1" s="7"/>
      <c r="J1" s="7"/>
      <c r="K1" s="7"/>
      <c r="L1" s="7"/>
      <c r="M1" s="7"/>
      <c r="N1" s="7"/>
      <c r="O1" s="7"/>
      <c r="P1" s="7"/>
      <c r="Q1" s="7"/>
      <c r="R1" s="7"/>
      <c r="S1" s="7"/>
      <c r="T1" s="7"/>
      <c r="U1" s="7"/>
      <c r="V1" s="7"/>
      <c r="W1" s="7"/>
      <c r="X1" s="7"/>
      <c r="Y1" s="7"/>
      <c r="Z1" s="7"/>
    </row>
    <row r="2" spans="1:26" ht="15.6">
      <c r="A2" s="31"/>
      <c r="B2" s="31"/>
      <c r="C2" s="32"/>
      <c r="D2" s="591" t="s">
        <v>48</v>
      </c>
      <c r="E2" s="592"/>
      <c r="F2" s="592"/>
      <c r="G2" s="592"/>
      <c r="H2" s="593"/>
      <c r="I2" s="591" t="s">
        <v>49</v>
      </c>
      <c r="J2" s="592"/>
      <c r="K2" s="592"/>
      <c r="L2" s="592"/>
      <c r="M2" s="593"/>
      <c r="N2" s="7"/>
      <c r="O2" s="7"/>
      <c r="P2" s="7"/>
      <c r="Q2" s="7"/>
      <c r="R2" s="7"/>
      <c r="S2" s="7"/>
      <c r="T2" s="7"/>
      <c r="U2" s="7"/>
      <c r="V2" s="7"/>
      <c r="W2" s="7"/>
      <c r="X2" s="7"/>
      <c r="Y2" s="7"/>
      <c r="Z2" s="7"/>
    </row>
    <row r="3" spans="1:26">
      <c r="A3" s="134" t="s">
        <v>281</v>
      </c>
      <c r="B3" s="35"/>
      <c r="C3" s="36" t="s">
        <v>51</v>
      </c>
      <c r="D3" s="37" t="s">
        <v>17</v>
      </c>
      <c r="E3" s="37" t="s">
        <v>18</v>
      </c>
      <c r="F3" s="37" t="s">
        <v>19</v>
      </c>
      <c r="G3" s="37" t="s">
        <v>20</v>
      </c>
      <c r="H3" s="37" t="s">
        <v>21</v>
      </c>
      <c r="I3" s="263" t="s">
        <v>22</v>
      </c>
      <c r="J3" s="264" t="s">
        <v>23</v>
      </c>
      <c r="K3" s="264" t="s">
        <v>24</v>
      </c>
      <c r="L3" s="264" t="s">
        <v>25</v>
      </c>
      <c r="M3" s="264" t="s">
        <v>26</v>
      </c>
      <c r="N3" s="7"/>
      <c r="O3" s="7"/>
      <c r="P3" s="7"/>
      <c r="Q3" s="7"/>
      <c r="R3" s="7"/>
      <c r="S3" s="7"/>
      <c r="T3" s="7"/>
      <c r="U3" s="7"/>
      <c r="V3" s="7"/>
      <c r="W3" s="7"/>
      <c r="X3" s="7"/>
      <c r="Y3" s="7"/>
      <c r="Z3" s="7"/>
    </row>
    <row r="4" spans="1:26" ht="15.6">
      <c r="A4" s="7"/>
      <c r="B4" s="7"/>
      <c r="C4" s="29"/>
      <c r="D4" s="30"/>
      <c r="E4" s="30"/>
      <c r="F4" s="30"/>
      <c r="G4" s="30"/>
      <c r="H4" s="30"/>
      <c r="I4" s="53"/>
      <c r="J4" s="30"/>
      <c r="K4" s="30"/>
      <c r="L4" s="30"/>
      <c r="M4" s="30"/>
      <c r="N4" s="7"/>
      <c r="O4" s="7"/>
      <c r="P4" s="7"/>
      <c r="Q4" s="7"/>
      <c r="R4" s="7"/>
      <c r="S4" s="7"/>
      <c r="T4" s="7"/>
      <c r="U4" s="7"/>
      <c r="V4" s="7"/>
      <c r="W4" s="7"/>
      <c r="X4" s="7"/>
      <c r="Y4" s="7"/>
      <c r="Z4" s="7"/>
    </row>
    <row r="5" spans="1:26" ht="15.6">
      <c r="A5" s="7"/>
      <c r="B5" s="64" t="s">
        <v>282</v>
      </c>
      <c r="C5" s="29"/>
      <c r="D5" s="30"/>
      <c r="E5" s="30"/>
      <c r="F5" s="30"/>
      <c r="G5" s="30"/>
      <c r="H5" s="30"/>
      <c r="I5" s="53"/>
      <c r="J5" s="30"/>
      <c r="K5" s="30"/>
      <c r="L5" s="30"/>
      <c r="M5" s="30"/>
      <c r="N5" s="7"/>
      <c r="O5" s="7"/>
      <c r="P5" s="7"/>
      <c r="Q5" s="7"/>
      <c r="R5" s="7"/>
      <c r="S5" s="7"/>
      <c r="T5" s="7"/>
      <c r="U5" s="7"/>
      <c r="V5" s="7"/>
      <c r="W5" s="7"/>
      <c r="X5" s="7"/>
      <c r="Y5" s="7"/>
      <c r="Z5" s="7"/>
    </row>
    <row r="6" spans="1:26">
      <c r="A6" s="7"/>
      <c r="B6" s="14" t="s">
        <v>31</v>
      </c>
      <c r="C6" s="55" t="s">
        <v>53</v>
      </c>
      <c r="D6" s="57">
        <f>'Income Statement'!D41</f>
        <v>-28090.066000000013</v>
      </c>
      <c r="E6" s="57">
        <f>'Income Statement'!E41</f>
        <v>-11257.078999999983</v>
      </c>
      <c r="F6" s="57">
        <f>'Income Statement'!F41</f>
        <v>-7042.2350000000224</v>
      </c>
      <c r="G6" s="57">
        <f>'Income Statement'!G41</f>
        <v>-3363.3050000000185</v>
      </c>
      <c r="H6" s="57">
        <f>'Income Statement'!H41</f>
        <v>-6746.282000000032</v>
      </c>
      <c r="I6" s="124">
        <f>'Income Statement'!I41</f>
        <v>5812.1440962045781</v>
      </c>
      <c r="J6" s="56">
        <f>'Income Statement'!J41</f>
        <v>19925.233623850523</v>
      </c>
      <c r="K6" s="56">
        <f>'Income Statement'!K41</f>
        <v>33472.8922045953</v>
      </c>
      <c r="L6" s="56">
        <f>'Income Statement'!L41</f>
        <v>46357.008351890268</v>
      </c>
      <c r="M6" s="56">
        <f>'Income Statement'!M41</f>
        <v>54287.792295586114</v>
      </c>
      <c r="N6" s="7"/>
      <c r="O6" s="7"/>
      <c r="P6" s="7"/>
      <c r="Q6" s="7"/>
      <c r="R6" s="7"/>
      <c r="S6" s="7"/>
      <c r="T6" s="7"/>
      <c r="U6" s="7"/>
      <c r="V6" s="7"/>
      <c r="W6" s="7"/>
      <c r="X6" s="7"/>
      <c r="Y6" s="7"/>
      <c r="Z6" s="7"/>
    </row>
    <row r="7" spans="1:26" ht="15.6">
      <c r="A7" s="7"/>
      <c r="B7" s="7" t="s">
        <v>283</v>
      </c>
      <c r="C7" s="29"/>
      <c r="D7" s="30"/>
      <c r="E7" s="30"/>
      <c r="F7" s="30"/>
      <c r="G7" s="30"/>
      <c r="H7" s="20"/>
      <c r="I7" s="122"/>
      <c r="J7" s="20"/>
      <c r="K7" s="20"/>
      <c r="L7" s="20"/>
      <c r="M7" s="20"/>
      <c r="N7" s="7"/>
      <c r="O7" s="7"/>
      <c r="P7" s="7"/>
      <c r="Q7" s="7"/>
      <c r="R7" s="7"/>
      <c r="S7" s="7"/>
      <c r="T7" s="7"/>
      <c r="U7" s="7"/>
      <c r="V7" s="7"/>
      <c r="W7" s="7"/>
      <c r="X7" s="7"/>
      <c r="Y7" s="7"/>
      <c r="Z7" s="7"/>
    </row>
    <row r="8" spans="1:26" ht="15.6">
      <c r="A8" s="7"/>
      <c r="B8" s="16" t="s">
        <v>205</v>
      </c>
      <c r="C8" s="29" t="s">
        <v>53</v>
      </c>
      <c r="D8" s="20">
        <f>'Balance Assumptions'!D79</f>
        <v>48421.524000000005</v>
      </c>
      <c r="E8" s="20">
        <f>'Balance Assumptions'!E79</f>
        <v>61661.203000000001</v>
      </c>
      <c r="F8" s="20">
        <f>'Balance Assumptions'!F79</f>
        <v>62748.413</v>
      </c>
      <c r="G8" s="20">
        <f>'Balance Assumptions'!G79</f>
        <v>68265.381999999998</v>
      </c>
      <c r="H8" s="20">
        <f>'Balance Assumptions'!H79</f>
        <v>66928.888000000006</v>
      </c>
      <c r="I8" s="191">
        <f>'Balance Assumptions'!I79</f>
        <v>65569.458756026565</v>
      </c>
      <c r="J8" s="118">
        <f>'Balance Assumptions'!J79</f>
        <v>55925.96409964843</v>
      </c>
      <c r="K8" s="118">
        <f>'Balance Assumptions'!K79</f>
        <v>46385.597688497866</v>
      </c>
      <c r="L8" s="118">
        <f>'Balance Assumptions'!L79</f>
        <v>37040.476158675978</v>
      </c>
      <c r="M8" s="118">
        <f>'Balance Assumptions'!M79</f>
        <v>32898.794014795312</v>
      </c>
      <c r="N8" s="7"/>
      <c r="O8" s="7"/>
      <c r="P8" s="7"/>
      <c r="Q8" s="7"/>
      <c r="R8" s="7"/>
      <c r="S8" s="7"/>
      <c r="T8" s="7"/>
      <c r="U8" s="7"/>
      <c r="V8" s="7"/>
      <c r="W8" s="7"/>
      <c r="X8" s="7"/>
      <c r="Y8" s="7"/>
      <c r="Z8" s="7"/>
    </row>
    <row r="9" spans="1:26" ht="15.6">
      <c r="A9" s="7"/>
      <c r="B9" s="16" t="s">
        <v>284</v>
      </c>
      <c r="C9" s="29" t="s">
        <v>53</v>
      </c>
      <c r="D9" s="20">
        <f>'Income Statement'!D36*-1</f>
        <v>14855.24</v>
      </c>
      <c r="E9" s="20">
        <f>'Income Statement'!E36*-1</f>
        <v>10739.561</v>
      </c>
      <c r="F9" s="20">
        <f>'Income Statement'!F36*-1</f>
        <v>11215.28</v>
      </c>
      <c r="G9" s="20">
        <f>'Income Statement'!G36*-1</f>
        <v>9290.2369999999992</v>
      </c>
      <c r="H9" s="20">
        <f>'Income Statement'!H36*-1</f>
        <v>8861.4850000000006</v>
      </c>
      <c r="I9" s="192">
        <f>'Income Statement'!I36*-1</f>
        <v>7116.6672595806067</v>
      </c>
      <c r="J9" s="103">
        <f>'Income Statement'!J36*-1</f>
        <v>5309.191602079828</v>
      </c>
      <c r="K9" s="103">
        <f>'Income Statement'!K36*-1</f>
        <v>4828.4680223057867</v>
      </c>
      <c r="L9" s="103">
        <f>'Income Statement'!L36*-1</f>
        <v>4546.3937633559171</v>
      </c>
      <c r="M9" s="103">
        <f>'Income Statement'!M36*-1</f>
        <v>4261.7052286905364</v>
      </c>
      <c r="N9" s="265"/>
      <c r="O9" s="266"/>
      <c r="P9" s="7"/>
      <c r="Q9" s="7"/>
      <c r="R9" s="7"/>
      <c r="S9" s="7"/>
      <c r="T9" s="7"/>
      <c r="U9" s="7"/>
      <c r="V9" s="7"/>
      <c r="W9" s="7"/>
      <c r="X9" s="7"/>
      <c r="Y9" s="7"/>
      <c r="Z9" s="7"/>
    </row>
    <row r="10" spans="1:26" ht="15.6">
      <c r="A10" s="7"/>
      <c r="B10" s="16" t="s">
        <v>285</v>
      </c>
      <c r="C10" s="29" t="s">
        <v>53</v>
      </c>
      <c r="D10" s="20">
        <f>'Income Statement'!D37*-1</f>
        <v>0</v>
      </c>
      <c r="E10" s="20">
        <f>'Income Statement'!E37*-1</f>
        <v>-201.00299999999999</v>
      </c>
      <c r="F10" s="20">
        <f>'Income Statement'!F37*-1</f>
        <v>-486.84800000000001</v>
      </c>
      <c r="G10" s="20">
        <f>'Income Statement'!G37*-1</f>
        <v>-1486.7919999999999</v>
      </c>
      <c r="H10" s="20">
        <f>'Income Statement'!H37*-1</f>
        <v>-2308.076</v>
      </c>
      <c r="I10" s="192">
        <f>-'Income Statement'!I37</f>
        <v>-2543.460072299999</v>
      </c>
      <c r="J10" s="103">
        <f>-'Income Statement'!J37</f>
        <v>-2127.553177103523</v>
      </c>
      <c r="K10" s="103">
        <f>-'Income Statement'!K37</f>
        <v>-2155.354026532309</v>
      </c>
      <c r="L10" s="103">
        <f>-'Income Statement'!L37</f>
        <v>-2184.8881888767573</v>
      </c>
      <c r="M10" s="103">
        <f>-'Income Statement'!M37</f>
        <v>-2213.1918238943458</v>
      </c>
      <c r="N10" s="266"/>
      <c r="O10" s="266"/>
      <c r="P10" s="7"/>
      <c r="Q10" s="7"/>
      <c r="R10" s="7"/>
      <c r="S10" s="7"/>
      <c r="T10" s="7"/>
      <c r="U10" s="7"/>
      <c r="V10" s="7"/>
      <c r="W10" s="7"/>
      <c r="X10" s="7"/>
      <c r="Y10" s="7"/>
      <c r="Z10" s="7"/>
    </row>
    <row r="11" spans="1:26" ht="15.6">
      <c r="A11" s="7"/>
      <c r="B11" s="16" t="s">
        <v>286</v>
      </c>
      <c r="C11" s="29" t="s">
        <v>53</v>
      </c>
      <c r="D11" s="20">
        <f>'Income Statement'!D38*-1</f>
        <v>18937.838</v>
      </c>
      <c r="E11" s="20">
        <f>'Income Statement'!E38*-1</f>
        <v>17531.866000000002</v>
      </c>
      <c r="F11" s="20">
        <f>'Income Statement'!F38*-1</f>
        <v>19837.911</v>
      </c>
      <c r="G11" s="20">
        <f>'Income Statement'!G38*-1</f>
        <v>17757.473000000002</v>
      </c>
      <c r="H11" s="20">
        <f>'Income Statement'!H38*-1</f>
        <v>21589.024000000001</v>
      </c>
      <c r="I11" s="192">
        <f>'Income Statement'!I38*-1</f>
        <v>20000</v>
      </c>
      <c r="J11" s="103">
        <f>'Income Statement'!J38*-1</f>
        <v>20000</v>
      </c>
      <c r="K11" s="103">
        <f>'Income Statement'!K38*-1</f>
        <v>20000</v>
      </c>
      <c r="L11" s="103">
        <f>'Income Statement'!L38*-1</f>
        <v>20000</v>
      </c>
      <c r="M11" s="103">
        <f>'Income Statement'!M38*-1</f>
        <v>20000</v>
      </c>
      <c r="N11" s="7"/>
      <c r="O11" s="7"/>
      <c r="P11" s="7"/>
      <c r="Q11" s="7"/>
      <c r="R11" s="7"/>
      <c r="S11" s="7"/>
      <c r="T11" s="7"/>
      <c r="U11" s="7"/>
      <c r="V11" s="7"/>
      <c r="W11" s="7"/>
      <c r="X11" s="7"/>
      <c r="Y11" s="7"/>
      <c r="Z11" s="7"/>
    </row>
    <row r="12" spans="1:26" ht="15" customHeight="1">
      <c r="A12" s="7"/>
      <c r="B12" s="16" t="s">
        <v>287</v>
      </c>
      <c r="C12" s="29" t="s">
        <v>53</v>
      </c>
      <c r="D12" s="20">
        <v>861.41800000000001</v>
      </c>
      <c r="E12" s="20">
        <v>764.78200000000004</v>
      </c>
      <c r="F12" s="20">
        <v>647.68600000000004</v>
      </c>
      <c r="G12" s="20">
        <v>600</v>
      </c>
      <c r="H12" s="20">
        <v>-351.91500000000002</v>
      </c>
      <c r="I12" s="192">
        <v>0</v>
      </c>
      <c r="J12" s="103">
        <v>0</v>
      </c>
      <c r="K12" s="103">
        <v>0</v>
      </c>
      <c r="L12" s="103">
        <v>0</v>
      </c>
      <c r="M12" s="103">
        <v>0</v>
      </c>
      <c r="N12" s="266"/>
      <c r="O12" s="266"/>
      <c r="P12" s="7"/>
      <c r="Q12" s="7"/>
      <c r="R12" s="7"/>
      <c r="S12" s="7"/>
      <c r="T12" s="7"/>
      <c r="U12" s="7"/>
      <c r="V12" s="7"/>
      <c r="W12" s="7"/>
      <c r="X12" s="7"/>
      <c r="Y12" s="7"/>
      <c r="Z12" s="7"/>
    </row>
    <row r="13" spans="1:26" ht="15.6">
      <c r="A13" s="7"/>
      <c r="B13" s="16" t="s">
        <v>288</v>
      </c>
      <c r="C13" s="29" t="s">
        <v>53</v>
      </c>
      <c r="D13" s="20">
        <v>0</v>
      </c>
      <c r="E13" s="20">
        <v>784.13099999999997</v>
      </c>
      <c r="F13" s="20">
        <v>837.76</v>
      </c>
      <c r="G13" s="20">
        <v>49.142000000000003</v>
      </c>
      <c r="H13" s="20">
        <v>0</v>
      </c>
      <c r="I13" s="192">
        <v>0</v>
      </c>
      <c r="J13" s="103">
        <v>0</v>
      </c>
      <c r="K13" s="103">
        <v>0</v>
      </c>
      <c r="L13" s="103">
        <v>0</v>
      </c>
      <c r="M13" s="103">
        <v>0</v>
      </c>
      <c r="N13" s="266"/>
      <c r="O13" s="266"/>
      <c r="P13" s="7"/>
      <c r="Q13" s="7"/>
      <c r="R13" s="7"/>
      <c r="S13" s="7"/>
      <c r="T13" s="7"/>
      <c r="U13" s="7"/>
      <c r="V13" s="7"/>
      <c r="W13" s="7"/>
      <c r="X13" s="7"/>
      <c r="Y13" s="7"/>
      <c r="Z13" s="7"/>
    </row>
    <row r="14" spans="1:26" ht="15.6">
      <c r="A14" s="7"/>
      <c r="B14" s="16" t="s">
        <v>289</v>
      </c>
      <c r="C14" s="29" t="s">
        <v>53</v>
      </c>
      <c r="D14" s="20">
        <f>'Income Statement'!D26</f>
        <v>-356.39</v>
      </c>
      <c r="E14" s="20">
        <f>'Income Statement'!E26</f>
        <v>0</v>
      </c>
      <c r="F14" s="20">
        <f>'Income Statement'!F26</f>
        <v>-350.803</v>
      </c>
      <c r="G14" s="20">
        <f>'Income Statement'!G26</f>
        <v>-13</v>
      </c>
      <c r="H14" s="20">
        <f>'Income Statement'!H26</f>
        <v>-46.701000000000001</v>
      </c>
      <c r="I14" s="192">
        <v>0</v>
      </c>
      <c r="J14" s="103">
        <v>0</v>
      </c>
      <c r="K14" s="103">
        <v>0</v>
      </c>
      <c r="L14" s="103">
        <v>0</v>
      </c>
      <c r="M14" s="103">
        <v>0</v>
      </c>
      <c r="N14" s="266"/>
      <c r="O14" s="266"/>
      <c r="P14" s="7"/>
      <c r="Q14" s="7"/>
      <c r="R14" s="7"/>
      <c r="S14" s="7"/>
      <c r="T14" s="7"/>
      <c r="U14" s="7"/>
      <c r="V14" s="7"/>
      <c r="W14" s="7"/>
      <c r="X14" s="7"/>
      <c r="Y14" s="7"/>
      <c r="Z14" s="7"/>
    </row>
    <row r="15" spans="1:26" ht="14.25" customHeight="1">
      <c r="A15" s="7"/>
      <c r="B15" s="16" t="s">
        <v>290</v>
      </c>
      <c r="C15" s="29" t="s">
        <v>53</v>
      </c>
      <c r="D15" s="20">
        <v>-411.78399999999999</v>
      </c>
      <c r="E15" s="20">
        <v>0</v>
      </c>
      <c r="F15" s="20">
        <v>0</v>
      </c>
      <c r="G15" s="20">
        <v>0</v>
      </c>
      <c r="H15" s="20">
        <v>0</v>
      </c>
      <c r="I15" s="192">
        <v>0</v>
      </c>
      <c r="J15" s="103">
        <v>0</v>
      </c>
      <c r="K15" s="103">
        <v>0</v>
      </c>
      <c r="L15" s="103">
        <v>0</v>
      </c>
      <c r="M15" s="103">
        <v>0</v>
      </c>
      <c r="N15" s="266"/>
      <c r="O15" s="266"/>
      <c r="P15" s="7"/>
      <c r="Q15" s="7"/>
      <c r="R15" s="7"/>
      <c r="S15" s="7"/>
      <c r="T15" s="7"/>
      <c r="U15" s="7"/>
      <c r="V15" s="7"/>
      <c r="W15" s="7"/>
      <c r="X15" s="7"/>
      <c r="Y15" s="7"/>
      <c r="Z15" s="7"/>
    </row>
    <row r="16" spans="1:26" ht="14.25" customHeight="1">
      <c r="A16" s="7"/>
      <c r="B16" s="16" t="s">
        <v>291</v>
      </c>
      <c r="C16" s="29" t="s">
        <v>53</v>
      </c>
      <c r="D16" s="20">
        <f>'Income Statement'!D39*-1</f>
        <v>0</v>
      </c>
      <c r="E16" s="20">
        <f>'Income Statement'!E39*-1</f>
        <v>-3526.3710000000001</v>
      </c>
      <c r="F16" s="20">
        <f>'Income Statement'!F39*-1</f>
        <v>0</v>
      </c>
      <c r="G16" s="20">
        <f>'Income Statement'!G39*-1</f>
        <v>0</v>
      </c>
      <c r="H16" s="20">
        <f>'Income Statement'!H39*-1</f>
        <v>597.37900000000002</v>
      </c>
      <c r="I16" s="192">
        <v>0</v>
      </c>
      <c r="J16" s="103">
        <v>0</v>
      </c>
      <c r="K16" s="103">
        <v>0</v>
      </c>
      <c r="L16" s="103">
        <v>0</v>
      </c>
      <c r="M16" s="103">
        <v>0</v>
      </c>
      <c r="N16" s="266"/>
      <c r="O16" s="266"/>
      <c r="P16" s="7"/>
      <c r="Q16" s="7"/>
      <c r="R16" s="7"/>
      <c r="S16" s="7"/>
      <c r="T16" s="7"/>
      <c r="U16" s="7"/>
      <c r="V16" s="7"/>
      <c r="W16" s="7"/>
      <c r="X16" s="7"/>
      <c r="Y16" s="7"/>
      <c r="Z16" s="7"/>
    </row>
    <row r="17" spans="1:26" ht="14.25" customHeight="1">
      <c r="A17" s="7"/>
      <c r="B17" s="16" t="s">
        <v>292</v>
      </c>
      <c r="C17" s="29" t="s">
        <v>53</v>
      </c>
      <c r="D17" s="20">
        <v>0</v>
      </c>
      <c r="E17" s="20">
        <v>0</v>
      </c>
      <c r="F17" s="20">
        <v>397.36700000000002</v>
      </c>
      <c r="G17" s="20">
        <v>0</v>
      </c>
      <c r="H17" s="20">
        <v>0</v>
      </c>
      <c r="I17" s="192">
        <v>0</v>
      </c>
      <c r="J17" s="103">
        <v>0</v>
      </c>
      <c r="K17" s="103">
        <v>0</v>
      </c>
      <c r="L17" s="103">
        <v>0</v>
      </c>
      <c r="M17" s="103">
        <v>0</v>
      </c>
      <c r="N17" s="266"/>
      <c r="O17" s="266"/>
      <c r="P17" s="7"/>
      <c r="Q17" s="7"/>
      <c r="R17" s="7"/>
      <c r="S17" s="7"/>
      <c r="T17" s="7"/>
      <c r="U17" s="7"/>
      <c r="V17" s="7"/>
      <c r="W17" s="7"/>
      <c r="X17" s="7"/>
      <c r="Y17" s="7"/>
      <c r="Z17" s="7"/>
    </row>
    <row r="18" spans="1:26" ht="14.25" customHeight="1">
      <c r="A18" s="7"/>
      <c r="B18" s="16" t="s">
        <v>293</v>
      </c>
      <c r="C18" s="29" t="s">
        <v>53</v>
      </c>
      <c r="D18" s="20">
        <f>'Income Statement'!D23</f>
        <v>4379.4719999999998</v>
      </c>
      <c r="E18" s="20">
        <f>'Income Statement'!E23</f>
        <v>348.49299999999999</v>
      </c>
      <c r="F18" s="20">
        <f>'Income Statement'!F23</f>
        <v>1387.1610000000001</v>
      </c>
      <c r="G18" s="20">
        <f>'Income Statement'!G23</f>
        <v>2231.7849999999999</v>
      </c>
      <c r="H18" s="20">
        <f>'Income Statement'!H23</f>
        <v>2623.6010000000001</v>
      </c>
      <c r="I18" s="192">
        <v>0</v>
      </c>
      <c r="J18" s="103">
        <v>0</v>
      </c>
      <c r="K18" s="103">
        <v>0</v>
      </c>
      <c r="L18" s="103">
        <v>0</v>
      </c>
      <c r="M18" s="103">
        <v>0</v>
      </c>
      <c r="N18" s="266"/>
      <c r="O18" s="266"/>
      <c r="P18" s="7"/>
      <c r="Q18" s="7"/>
      <c r="R18" s="7"/>
      <c r="S18" s="7"/>
      <c r="T18" s="7"/>
      <c r="U18" s="7"/>
      <c r="V18" s="7"/>
      <c r="W18" s="7"/>
      <c r="X18" s="7"/>
      <c r="Y18" s="7"/>
      <c r="Z18" s="7"/>
    </row>
    <row r="19" spans="1:26" ht="14.25" customHeight="1">
      <c r="A19" s="7"/>
      <c r="B19" s="16" t="s">
        <v>294</v>
      </c>
      <c r="C19" s="29" t="s">
        <v>53</v>
      </c>
      <c r="D19" s="20">
        <v>-25.343</v>
      </c>
      <c r="E19" s="20">
        <f>'Income Statement'!E24</f>
        <v>145</v>
      </c>
      <c r="F19" s="20">
        <f>'Income Statement'!F24</f>
        <v>-948.99</v>
      </c>
      <c r="G19" s="20">
        <f>'Income Statement'!G24</f>
        <v>-219.495</v>
      </c>
      <c r="H19" s="20">
        <f>'Income Statement'!H24</f>
        <v>668.08600000000001</v>
      </c>
      <c r="I19" s="192">
        <v>0</v>
      </c>
      <c r="J19" s="103">
        <v>0</v>
      </c>
      <c r="K19" s="103">
        <v>0</v>
      </c>
      <c r="L19" s="103">
        <v>0</v>
      </c>
      <c r="M19" s="103">
        <v>0</v>
      </c>
      <c r="N19" s="266"/>
      <c r="O19" s="266"/>
      <c r="P19" s="7"/>
      <c r="Q19" s="7"/>
      <c r="R19" s="7"/>
      <c r="S19" s="7"/>
      <c r="T19" s="7"/>
      <c r="U19" s="7"/>
      <c r="V19" s="7"/>
      <c r="W19" s="7"/>
      <c r="X19" s="7"/>
      <c r="Y19" s="7"/>
      <c r="Z19" s="7"/>
    </row>
    <row r="20" spans="1:26" ht="14.25" customHeight="1">
      <c r="A20" s="7"/>
      <c r="B20" s="16" t="s">
        <v>295</v>
      </c>
      <c r="C20" s="29" t="s">
        <v>53</v>
      </c>
      <c r="D20" s="20">
        <v>0</v>
      </c>
      <c r="E20" s="20">
        <v>0</v>
      </c>
      <c r="F20" s="20">
        <v>0</v>
      </c>
      <c r="G20" s="20">
        <v>-125.11499999999999</v>
      </c>
      <c r="H20" s="20">
        <f>-414.635</f>
        <v>-414.63499999999999</v>
      </c>
      <c r="I20" s="192">
        <v>0</v>
      </c>
      <c r="J20" s="103">
        <v>0</v>
      </c>
      <c r="K20" s="103">
        <v>0</v>
      </c>
      <c r="L20" s="103">
        <v>0</v>
      </c>
      <c r="M20" s="103">
        <v>0</v>
      </c>
      <c r="N20" s="266"/>
      <c r="O20" s="266"/>
      <c r="P20" s="7"/>
      <c r="Q20" s="7"/>
      <c r="R20" s="7"/>
      <c r="S20" s="7"/>
      <c r="T20" s="7"/>
      <c r="U20" s="7"/>
      <c r="V20" s="7"/>
      <c r="W20" s="7"/>
      <c r="X20" s="7"/>
      <c r="Y20" s="7"/>
      <c r="Z20" s="7"/>
    </row>
    <row r="21" spans="1:26" ht="14.25" customHeight="1">
      <c r="A21" s="7"/>
      <c r="B21" s="16" t="s">
        <v>296</v>
      </c>
      <c r="C21" s="29" t="s">
        <v>53</v>
      </c>
      <c r="D21" s="20">
        <v>0</v>
      </c>
      <c r="E21" s="20">
        <v>0</v>
      </c>
      <c r="F21" s="20">
        <v>0</v>
      </c>
      <c r="G21" s="20">
        <v>0</v>
      </c>
      <c r="H21" s="20">
        <f>-836.525</f>
        <v>-836.52499999999998</v>
      </c>
      <c r="I21" s="192">
        <v>0</v>
      </c>
      <c r="J21" s="103">
        <v>0</v>
      </c>
      <c r="K21" s="103">
        <v>0</v>
      </c>
      <c r="L21" s="103">
        <v>0</v>
      </c>
      <c r="M21" s="103">
        <v>0</v>
      </c>
      <c r="N21" s="266"/>
      <c r="O21" s="266"/>
      <c r="P21" s="7"/>
      <c r="Q21" s="7"/>
      <c r="R21" s="7"/>
      <c r="S21" s="7"/>
      <c r="T21" s="7"/>
      <c r="U21" s="7"/>
      <c r="V21" s="7"/>
      <c r="W21" s="7"/>
      <c r="X21" s="7"/>
      <c r="Y21" s="7"/>
      <c r="Z21" s="7"/>
    </row>
    <row r="22" spans="1:26" ht="15.75" customHeight="1">
      <c r="A22" s="7"/>
      <c r="B22" s="14" t="s">
        <v>297</v>
      </c>
      <c r="C22" s="55" t="s">
        <v>53</v>
      </c>
      <c r="D22" s="57">
        <f t="shared" ref="D22:M22" si="0">SUM(D6:D21)</f>
        <v>58571.908999999992</v>
      </c>
      <c r="E22" s="57">
        <f t="shared" si="0"/>
        <v>76990.583000000028</v>
      </c>
      <c r="F22" s="57">
        <f t="shared" si="0"/>
        <v>88242.701999999976</v>
      </c>
      <c r="G22" s="57">
        <f t="shared" si="0"/>
        <v>92986.311999999976</v>
      </c>
      <c r="H22" s="57">
        <f t="shared" si="0"/>
        <v>90564.328999999983</v>
      </c>
      <c r="I22" s="94">
        <f t="shared" si="0"/>
        <v>95954.810039511736</v>
      </c>
      <c r="J22" s="57">
        <f t="shared" si="0"/>
        <v>99032.836148475253</v>
      </c>
      <c r="K22" s="57">
        <f t="shared" si="0"/>
        <v>102531.60388886664</v>
      </c>
      <c r="L22" s="57">
        <f t="shared" si="0"/>
        <v>105758.9900850454</v>
      </c>
      <c r="M22" s="57">
        <f t="shared" si="0"/>
        <v>109235.09971517761</v>
      </c>
      <c r="N22" s="7"/>
      <c r="O22" s="7"/>
      <c r="P22" s="7"/>
      <c r="Q22" s="7"/>
      <c r="R22" s="7"/>
      <c r="S22" s="7"/>
      <c r="T22" s="7"/>
      <c r="U22" s="7"/>
      <c r="V22" s="7"/>
      <c r="W22" s="7"/>
      <c r="X22" s="7"/>
      <c r="Y22" s="7"/>
      <c r="Z22" s="7"/>
    </row>
    <row r="23" spans="1:26" ht="15.75" customHeight="1">
      <c r="A23" s="7"/>
      <c r="B23" s="16"/>
      <c r="C23" s="29"/>
      <c r="D23" s="30"/>
      <c r="E23" s="7"/>
      <c r="F23" s="7"/>
      <c r="G23" s="7"/>
      <c r="H23" s="7"/>
      <c r="I23" s="122"/>
      <c r="J23" s="20"/>
      <c r="K23" s="20"/>
      <c r="L23" s="20"/>
      <c r="M23" s="20"/>
      <c r="N23" s="7"/>
      <c r="O23" s="7"/>
      <c r="P23" s="7"/>
      <c r="Q23" s="7"/>
      <c r="R23" s="7"/>
      <c r="S23" s="7"/>
      <c r="T23" s="7"/>
      <c r="U23" s="7"/>
      <c r="V23" s="7"/>
      <c r="W23" s="7"/>
      <c r="X23" s="7"/>
      <c r="Y23" s="7"/>
      <c r="Z23" s="7"/>
    </row>
    <row r="24" spans="1:26" ht="15.75" customHeight="1">
      <c r="A24" s="7"/>
      <c r="B24" s="14" t="s">
        <v>298</v>
      </c>
      <c r="C24" s="55" t="s">
        <v>53</v>
      </c>
      <c r="D24" s="64"/>
      <c r="E24" s="64"/>
      <c r="F24" s="64"/>
      <c r="G24" s="64"/>
      <c r="H24" s="57"/>
      <c r="I24" s="94"/>
      <c r="J24" s="57"/>
      <c r="K24" s="57"/>
      <c r="L24" s="57"/>
      <c r="M24" s="57"/>
      <c r="N24" s="7"/>
      <c r="O24" s="7"/>
      <c r="P24" s="7"/>
      <c r="Q24" s="7"/>
      <c r="R24" s="7"/>
      <c r="S24" s="7"/>
      <c r="T24" s="7"/>
      <c r="U24" s="7"/>
      <c r="V24" s="7"/>
      <c r="W24" s="7"/>
      <c r="X24" s="7"/>
      <c r="Y24" s="7"/>
      <c r="Z24" s="7"/>
    </row>
    <row r="25" spans="1:26" ht="15.75" customHeight="1">
      <c r="A25" s="7"/>
      <c r="B25" s="16" t="s">
        <v>140</v>
      </c>
      <c r="C25" s="29" t="s">
        <v>53</v>
      </c>
      <c r="D25" s="20">
        <v>-3289.547</v>
      </c>
      <c r="E25" s="20">
        <v>3629.808</v>
      </c>
      <c r="F25" s="20">
        <v>-6404.915</v>
      </c>
      <c r="G25" s="20">
        <v>-7814.8540000000003</v>
      </c>
      <c r="H25" s="20">
        <v>-7589.1329999999998</v>
      </c>
      <c r="I25" s="192">
        <f>-('Balance Sheet'!I10-'Balance Sheet'!H10)</f>
        <v>-142.68411142297555</v>
      </c>
      <c r="J25" s="103">
        <f>-('Balance Sheet'!J10-'Balance Sheet'!I10)</f>
        <v>-955.02746234235383</v>
      </c>
      <c r="K25" s="103">
        <f>-('Balance Sheet'!K10-'Balance Sheet'!J10)</f>
        <v>-1014.5710183596384</v>
      </c>
      <c r="L25" s="103">
        <f>-('Balance Sheet'!L10-'Balance Sheet'!K10)</f>
        <v>-972.29938225998194</v>
      </c>
      <c r="M25" s="103">
        <f>-('Balance Sheet'!M10-'Balance Sheet'!L10)</f>
        <v>-1026.8685441091875</v>
      </c>
      <c r="N25" s="267"/>
      <c r="O25" s="7"/>
      <c r="P25" s="7"/>
      <c r="Q25" s="7"/>
      <c r="R25" s="7"/>
      <c r="S25" s="7"/>
      <c r="T25" s="7"/>
      <c r="U25" s="7"/>
      <c r="V25" s="7"/>
      <c r="W25" s="7"/>
      <c r="X25" s="7"/>
      <c r="Y25" s="7"/>
      <c r="Z25" s="7"/>
    </row>
    <row r="26" spans="1:26" ht="15.75" customHeight="1">
      <c r="A26" s="7"/>
      <c r="B26" s="16" t="s">
        <v>141</v>
      </c>
      <c r="C26" s="29" t="s">
        <v>53</v>
      </c>
      <c r="D26" s="20">
        <v>-266.87200000000001</v>
      </c>
      <c r="E26" s="20">
        <v>50.869</v>
      </c>
      <c r="F26" s="20">
        <v>-4611.4430000000002</v>
      </c>
      <c r="G26" s="20">
        <f>-366.198</f>
        <v>-366.19799999999998</v>
      </c>
      <c r="H26" s="20">
        <v>3175.0720000000001</v>
      </c>
      <c r="I26" s="192">
        <f>-('Balance Sheet'!I11-'Balance Sheet'!H11)</f>
        <v>797.31077771540458</v>
      </c>
      <c r="J26" s="103">
        <f>-('Balance Sheet'!J11-'Balance Sheet'!I11)</f>
        <v>-191.00549246847186</v>
      </c>
      <c r="K26" s="103">
        <f>-('Balance Sheet'!K11-'Balance Sheet'!J11)</f>
        <v>-202.91420367192677</v>
      </c>
      <c r="L26" s="103">
        <f>-('Balance Sheet'!L11-'Balance Sheet'!K11)</f>
        <v>-194.45987645199693</v>
      </c>
      <c r="M26" s="103">
        <f>-('Balance Sheet'!M11-'Balance Sheet'!L11)</f>
        <v>-205.37370882183768</v>
      </c>
      <c r="N26" s="268"/>
      <c r="O26" s="7"/>
      <c r="Q26" s="7"/>
      <c r="R26" s="7"/>
      <c r="S26" s="7"/>
      <c r="T26" s="7"/>
      <c r="U26" s="7"/>
      <c r="V26" s="7"/>
      <c r="W26" s="7"/>
      <c r="X26" s="7"/>
      <c r="Y26" s="7"/>
      <c r="Z26" s="7"/>
    </row>
    <row r="27" spans="1:26" ht="15.75" customHeight="1">
      <c r="A27" s="7"/>
      <c r="B27" s="16" t="s">
        <v>142</v>
      </c>
      <c r="C27" s="29" t="s">
        <v>53</v>
      </c>
      <c r="D27" s="20">
        <v>-2261.047</v>
      </c>
      <c r="E27" s="20">
        <v>-158.31899999999999</v>
      </c>
      <c r="F27" s="20">
        <v>-204.50800000000001</v>
      </c>
      <c r="G27" s="20">
        <v>-108.628</v>
      </c>
      <c r="H27" s="20">
        <v>-601.75099999999998</v>
      </c>
      <c r="I27" s="192">
        <f>-('Balance Sheet'!I12-'Balance Sheet'!H12)</f>
        <v>158.16475830058789</v>
      </c>
      <c r="J27" s="103">
        <f>-('Balance Sheet'!J12-'Balance Sheet'!I12)</f>
        <v>166.49039147040912</v>
      </c>
      <c r="K27" s="103">
        <f>-('Balance Sheet'!K12-'Balance Sheet'!J12)</f>
        <v>448.3125844905062</v>
      </c>
      <c r="L27" s="103">
        <f>-('Balance Sheet'!L12-'Balance Sheet'!K12)</f>
        <v>-81.673148109839076</v>
      </c>
      <c r="M27" s="103">
        <f>-('Balance Sheet'!M12-'Balance Sheet'!L12)</f>
        <v>-86.256957705171772</v>
      </c>
      <c r="N27" s="268"/>
      <c r="O27" s="7"/>
      <c r="P27" s="7"/>
      <c r="Q27" s="7"/>
      <c r="R27" s="7"/>
      <c r="S27" s="7"/>
      <c r="T27" s="7"/>
      <c r="U27" s="7"/>
      <c r="V27" s="7"/>
      <c r="W27" s="7"/>
      <c r="X27" s="7"/>
      <c r="Y27" s="7"/>
      <c r="Z27" s="7"/>
    </row>
    <row r="28" spans="1:26" ht="15.75" customHeight="1">
      <c r="A28" s="7"/>
      <c r="B28" s="16" t="s">
        <v>143</v>
      </c>
      <c r="C28" s="29" t="s">
        <v>53</v>
      </c>
      <c r="D28" s="20">
        <v>3056.422</v>
      </c>
      <c r="E28" s="20">
        <v>-137.65600000000001</v>
      </c>
      <c r="F28" s="20">
        <v>762.93499999999995</v>
      </c>
      <c r="G28" s="20">
        <v>317.70100000000002</v>
      </c>
      <c r="H28" s="20">
        <v>3.5910000000000002</v>
      </c>
      <c r="I28" s="192">
        <f>-(('Balance Sheet'!I13+'Balance Sheet'!I20)-('Balance Sheet'!H13+'Balance Sheet'!H20))</f>
        <v>-131.6736963046128</v>
      </c>
      <c r="J28" s="103">
        <f>-(('Balance Sheet'!J13+'Balance Sheet'!J20)-('Balance Sheet'!I13+'Balance Sheet'!I20))</f>
        <v>-25.467398995796202</v>
      </c>
      <c r="K28" s="103">
        <f>-(('Balance Sheet'!K13+'Balance Sheet'!K20)-('Balance Sheet'!J13+'Balance Sheet'!J20))</f>
        <v>-27.055227156256933</v>
      </c>
      <c r="L28" s="103">
        <f>-(('Balance Sheet'!L13+'Balance Sheet'!L20)-('Balance Sheet'!K13+'Balance Sheet'!K20))</f>
        <v>-25.927983526933076</v>
      </c>
      <c r="M28" s="103">
        <f>-(('Balance Sheet'!M13+'Balance Sheet'!M20)-('Balance Sheet'!L13+'Balance Sheet'!L20))</f>
        <v>-27.383161176244812</v>
      </c>
      <c r="N28" s="269"/>
      <c r="O28" s="7"/>
      <c r="P28" s="7"/>
      <c r="Q28" s="7"/>
      <c r="R28" s="7"/>
      <c r="S28" s="7"/>
      <c r="T28" s="7"/>
      <c r="U28" s="7"/>
      <c r="V28" s="7"/>
      <c r="W28" s="7"/>
      <c r="X28" s="7"/>
      <c r="Y28" s="7"/>
      <c r="Z28" s="7"/>
    </row>
    <row r="29" spans="1:26" ht="15.75" customHeight="1">
      <c r="A29" s="7"/>
      <c r="B29" s="16" t="s">
        <v>299</v>
      </c>
      <c r="C29" s="29" t="s">
        <v>53</v>
      </c>
      <c r="D29" s="20">
        <v>-9989.375</v>
      </c>
      <c r="E29" s="20">
        <v>-13130.762000000001</v>
      </c>
      <c r="F29" s="20">
        <v>-1377.7149999999999</v>
      </c>
      <c r="G29" s="20">
        <v>-5563.6620000000003</v>
      </c>
      <c r="H29" s="20">
        <v>2537.8339999999998</v>
      </c>
      <c r="I29" s="192">
        <f>('Balance Sheet'!I28+'Balance Sheet'!I29)-('Balance Sheet'!H28+'Balance Sheet'!H29)</f>
        <v>-149.59394390537636</v>
      </c>
      <c r="J29" s="103">
        <f>('Balance Sheet'!J28+'Balance Sheet'!J29)-('Balance Sheet'!I28+'Balance Sheet'!I29)</f>
        <v>-2642.0882301810998</v>
      </c>
      <c r="K29" s="103">
        <f>('Balance Sheet'!K28+'Balance Sheet'!K29)-('Balance Sheet'!J28+'Balance Sheet'!J29)</f>
        <v>-790.04751208252128</v>
      </c>
      <c r="L29" s="103">
        <f>('Balance Sheet'!L28+'Balance Sheet'!L29)-('Balance Sheet'!K28+'Balance Sheet'!K29)</f>
        <v>-1658.9247459030958</v>
      </c>
      <c r="M29" s="103">
        <f>('Balance Sheet'!M28+'Balance Sheet'!M29)-('Balance Sheet'!L28+'Balance Sheet'!L29)</f>
        <v>-365.2483179028859</v>
      </c>
      <c r="N29" s="270"/>
      <c r="O29" s="7"/>
      <c r="P29" s="7"/>
      <c r="Q29" s="7"/>
      <c r="R29" s="7"/>
      <c r="S29" s="7"/>
      <c r="T29" s="7"/>
      <c r="U29" s="7"/>
      <c r="V29" s="7"/>
      <c r="W29" s="7"/>
      <c r="X29" s="7"/>
      <c r="Y29" s="7"/>
      <c r="Z29" s="7"/>
    </row>
    <row r="30" spans="1:26" ht="15.75" customHeight="1">
      <c r="A30" s="7"/>
      <c r="B30" s="16" t="s">
        <v>147</v>
      </c>
      <c r="C30" s="29" t="s">
        <v>53</v>
      </c>
      <c r="D30" s="20">
        <v>685.42200000000003</v>
      </c>
      <c r="E30" s="20">
        <v>-1852.7149999999999</v>
      </c>
      <c r="F30" s="20">
        <v>417.63900000000001</v>
      </c>
      <c r="G30" s="20">
        <v>359.96800000000002</v>
      </c>
      <c r="H30" s="20">
        <v>4615.3689999999997</v>
      </c>
      <c r="I30" s="192">
        <f>'Balance Sheet'!I30-'Balance Sheet'!H30</f>
        <v>237.77096304612678</v>
      </c>
      <c r="J30" s="103">
        <f>'Balance Sheet'!J30-'Balance Sheet'!I30</f>
        <v>254.67398995796066</v>
      </c>
      <c r="K30" s="103">
        <f>'Balance Sheet'!K30-'Balance Sheet'!J30</f>
        <v>270.55227156257024</v>
      </c>
      <c r="L30" s="103">
        <f>'Balance Sheet'!L30-'Balance Sheet'!K30</f>
        <v>259.27983526932985</v>
      </c>
      <c r="M30" s="103">
        <f>'Balance Sheet'!M30-'Balance Sheet'!L30</f>
        <v>273.83161176244903</v>
      </c>
      <c r="N30" s="267"/>
      <c r="O30" s="7"/>
      <c r="P30" s="7"/>
      <c r="Q30" s="7"/>
      <c r="R30" s="7"/>
      <c r="S30" s="7"/>
      <c r="T30" s="7"/>
      <c r="U30" s="7"/>
      <c r="V30" s="7"/>
      <c r="W30" s="7"/>
      <c r="X30" s="7"/>
      <c r="Y30" s="7"/>
      <c r="Z30" s="7"/>
    </row>
    <row r="31" spans="1:26" ht="15.75" customHeight="1">
      <c r="A31" s="7"/>
      <c r="B31" s="245" t="s">
        <v>300</v>
      </c>
      <c r="C31" s="217" t="s">
        <v>53</v>
      </c>
      <c r="D31" s="158">
        <v>48.918999999999997</v>
      </c>
      <c r="E31" s="158">
        <v>-258.46199999999999</v>
      </c>
      <c r="F31" s="158">
        <v>-321.97399999999999</v>
      </c>
      <c r="G31" s="158">
        <v>-116.44199999999999</v>
      </c>
      <c r="H31" s="158">
        <v>423.33300000000003</v>
      </c>
      <c r="I31" s="246">
        <f>'Balance Sheet'!I38-'Balance Sheet'!H38</f>
        <v>-77.584999999999127</v>
      </c>
      <c r="J31" s="247">
        <f>'Balance Sheet'!J38-'Balance Sheet'!I38</f>
        <v>0</v>
      </c>
      <c r="K31" s="247">
        <f>'Balance Sheet'!K38-'Balance Sheet'!J38</f>
        <v>0</v>
      </c>
      <c r="L31" s="247">
        <f>'Balance Sheet'!L38-'Balance Sheet'!K38</f>
        <v>0</v>
      </c>
      <c r="M31" s="247">
        <f>'Balance Sheet'!M38-'Balance Sheet'!L38</f>
        <v>0</v>
      </c>
      <c r="N31" s="267"/>
      <c r="O31" s="7"/>
      <c r="P31" s="7"/>
      <c r="Q31" s="7"/>
      <c r="R31" s="7"/>
      <c r="S31" s="7"/>
      <c r="T31" s="7"/>
      <c r="U31" s="7"/>
      <c r="V31" s="7"/>
      <c r="W31" s="7"/>
      <c r="X31" s="7"/>
      <c r="Y31" s="7"/>
      <c r="Z31" s="7"/>
    </row>
    <row r="32" spans="1:26" ht="15.75" customHeight="1">
      <c r="A32" s="7"/>
      <c r="B32" s="14" t="s">
        <v>301</v>
      </c>
      <c r="C32" s="55" t="s">
        <v>53</v>
      </c>
      <c r="D32" s="57">
        <f t="shared" ref="D32:M32" si="1">SUM(D25:D31,D22)</f>
        <v>46555.830999999991</v>
      </c>
      <c r="E32" s="57">
        <f t="shared" si="1"/>
        <v>65133.346000000027</v>
      </c>
      <c r="F32" s="57">
        <f t="shared" si="1"/>
        <v>76502.720999999976</v>
      </c>
      <c r="G32" s="57">
        <f t="shared" si="1"/>
        <v>79694.196999999986</v>
      </c>
      <c r="H32" s="57">
        <f t="shared" si="1"/>
        <v>93128.643999999986</v>
      </c>
      <c r="I32" s="94">
        <f t="shared" si="1"/>
        <v>96646.519786940888</v>
      </c>
      <c r="J32" s="57">
        <f t="shared" si="1"/>
        <v>95640.411945915897</v>
      </c>
      <c r="K32" s="57">
        <f t="shared" si="1"/>
        <v>101215.88078364937</v>
      </c>
      <c r="L32" s="57">
        <f t="shared" si="1"/>
        <v>103084.98478406288</v>
      </c>
      <c r="M32" s="57">
        <f t="shared" si="1"/>
        <v>107797.80063722473</v>
      </c>
      <c r="N32" s="7"/>
      <c r="O32" s="7"/>
      <c r="P32" s="7"/>
      <c r="Q32" s="7"/>
      <c r="R32" s="7"/>
      <c r="S32" s="7"/>
      <c r="T32" s="7"/>
      <c r="U32" s="7"/>
      <c r="V32" s="7"/>
      <c r="W32" s="7"/>
      <c r="X32" s="7"/>
      <c r="Y32" s="7"/>
      <c r="Z32" s="7"/>
    </row>
    <row r="33" spans="1:26" ht="15.75" customHeight="1">
      <c r="A33" s="7"/>
      <c r="B33" s="7"/>
      <c r="C33" s="29"/>
      <c r="D33" s="30"/>
      <c r="E33" s="30"/>
      <c r="F33" s="30"/>
      <c r="G33" s="30"/>
      <c r="H33" s="20"/>
      <c r="I33" s="122"/>
      <c r="J33" s="20"/>
      <c r="K33" s="20"/>
      <c r="L33" s="20"/>
      <c r="M33" s="20"/>
      <c r="N33" s="7"/>
      <c r="O33" s="7"/>
      <c r="P33" s="7"/>
      <c r="Q33" s="7"/>
      <c r="R33" s="7"/>
      <c r="S33" s="7"/>
      <c r="T33" s="7"/>
      <c r="U33" s="7"/>
      <c r="V33" s="7"/>
      <c r="W33" s="7"/>
      <c r="X33" s="7"/>
      <c r="Y33" s="7"/>
      <c r="Z33" s="7"/>
    </row>
    <row r="34" spans="1:26" ht="15.75" customHeight="1">
      <c r="A34" s="7"/>
      <c r="B34" s="64" t="s">
        <v>302</v>
      </c>
      <c r="C34" s="29"/>
      <c r="D34" s="30"/>
      <c r="E34" s="30"/>
      <c r="F34" s="30"/>
      <c r="G34" s="30"/>
      <c r="H34" s="20"/>
      <c r="I34" s="122"/>
      <c r="J34" s="20"/>
      <c r="K34" s="20"/>
      <c r="L34" s="20"/>
      <c r="M34" s="20"/>
      <c r="N34" s="7"/>
      <c r="O34" s="7"/>
      <c r="P34" s="7"/>
      <c r="Q34" s="7"/>
      <c r="R34" s="7"/>
      <c r="S34" s="7"/>
      <c r="T34" s="7"/>
      <c r="U34" s="7"/>
      <c r="V34" s="7"/>
      <c r="W34" s="7"/>
      <c r="X34" s="7"/>
      <c r="Y34" s="7"/>
      <c r="Z34" s="7"/>
    </row>
    <row r="35" spans="1:26" ht="15.75" customHeight="1">
      <c r="A35" s="7"/>
      <c r="B35" s="16" t="s">
        <v>303</v>
      </c>
      <c r="C35" s="29" t="s">
        <v>53</v>
      </c>
      <c r="D35" s="20">
        <v>-900</v>
      </c>
      <c r="E35" s="20">
        <v>0</v>
      </c>
      <c r="F35" s="20">
        <v>294.03100000000001</v>
      </c>
      <c r="G35" s="20">
        <v>1519.5239999999999</v>
      </c>
      <c r="H35" s="20">
        <v>2308.3850000000002</v>
      </c>
      <c r="I35" s="192">
        <f>'Income Statement'!I37</f>
        <v>2543.460072299999</v>
      </c>
      <c r="J35" s="103">
        <f>'Income Statement'!J37</f>
        <v>2127.553177103523</v>
      </c>
      <c r="K35" s="103">
        <f>'Income Statement'!K37</f>
        <v>2155.354026532309</v>
      </c>
      <c r="L35" s="103">
        <f>'Income Statement'!L37</f>
        <v>2184.8881888767573</v>
      </c>
      <c r="M35" s="103">
        <f>'Income Statement'!M37</f>
        <v>2213.1918238943458</v>
      </c>
      <c r="N35" s="7"/>
      <c r="O35" s="7"/>
      <c r="P35" s="7"/>
      <c r="Q35" s="7"/>
      <c r="R35" s="7"/>
      <c r="S35" s="7"/>
      <c r="T35" s="7"/>
      <c r="U35" s="7"/>
      <c r="V35" s="7"/>
      <c r="W35" s="7"/>
      <c r="X35" s="7"/>
      <c r="Y35" s="7"/>
      <c r="Z35" s="7"/>
    </row>
    <row r="36" spans="1:26" ht="15.75" customHeight="1">
      <c r="A36" s="7"/>
      <c r="B36" s="16" t="s">
        <v>304</v>
      </c>
      <c r="C36" s="29" t="s">
        <v>53</v>
      </c>
      <c r="D36" s="20">
        <v>0</v>
      </c>
      <c r="E36" s="20">
        <v>5077.8459999999995</v>
      </c>
      <c r="F36" s="20">
        <v>0</v>
      </c>
      <c r="G36" s="20">
        <v>10000</v>
      </c>
      <c r="H36" s="20">
        <v>500</v>
      </c>
      <c r="I36" s="192">
        <f>-('Balance Sheet'!I8-'Balance Sheet'!H8)</f>
        <v>-23.451870380765968</v>
      </c>
      <c r="J36" s="103">
        <f>-('Balance Sheet'!J8-'Balance Sheet'!I8)</f>
        <v>-31.834248744745082</v>
      </c>
      <c r="K36" s="103">
        <f>-('Balance Sheet'!K8-'Balance Sheet'!J8)</f>
        <v>-33.81903394532128</v>
      </c>
      <c r="L36" s="103">
        <f>-('Balance Sheet'!L8-'Balance Sheet'!K8)</f>
        <v>-32.409979408666231</v>
      </c>
      <c r="M36" s="103">
        <f>-('Balance Sheet'!M8-'Balance Sheet'!L8)</f>
        <v>-34.228951470306129</v>
      </c>
      <c r="N36" s="7"/>
      <c r="O36" s="7"/>
      <c r="P36" s="7"/>
      <c r="Q36" s="7"/>
      <c r="R36" s="7"/>
      <c r="S36" s="7"/>
      <c r="T36" s="7"/>
      <c r="U36" s="7"/>
      <c r="V36" s="7"/>
      <c r="W36" s="7"/>
      <c r="X36" s="7"/>
      <c r="Y36" s="7"/>
      <c r="Z36" s="7"/>
    </row>
    <row r="37" spans="1:26" ht="15.75" customHeight="1">
      <c r="A37" s="7"/>
      <c r="B37" s="16" t="s">
        <v>305</v>
      </c>
      <c r="C37" s="29" t="s">
        <v>53</v>
      </c>
      <c r="D37" s="20">
        <v>0</v>
      </c>
      <c r="E37" s="20">
        <v>0</v>
      </c>
      <c r="F37" s="20">
        <v>-10000</v>
      </c>
      <c r="G37" s="20">
        <v>0</v>
      </c>
      <c r="H37" s="20">
        <v>-50</v>
      </c>
      <c r="I37" s="192">
        <v>0</v>
      </c>
      <c r="J37" s="103">
        <v>0</v>
      </c>
      <c r="K37" s="103">
        <v>0</v>
      </c>
      <c r="L37" s="103">
        <v>0</v>
      </c>
      <c r="M37" s="103">
        <v>0</v>
      </c>
      <c r="N37" s="7"/>
      <c r="O37" s="7"/>
      <c r="P37" s="7"/>
      <c r="Q37" s="7"/>
      <c r="R37" s="7"/>
      <c r="S37" s="7"/>
      <c r="T37" s="7"/>
      <c r="U37" s="7"/>
      <c r="V37" s="7"/>
      <c r="W37" s="7"/>
      <c r="X37" s="7"/>
      <c r="Y37" s="7"/>
      <c r="Z37" s="7"/>
    </row>
    <row r="38" spans="1:26" ht="15" customHeight="1">
      <c r="A38" s="7"/>
      <c r="B38" s="16" t="s">
        <v>306</v>
      </c>
      <c r="C38" s="29" t="s">
        <v>53</v>
      </c>
      <c r="D38" s="20">
        <v>-69953.782000000007</v>
      </c>
      <c r="E38" s="20">
        <v>-30639.606</v>
      </c>
      <c r="F38" s="20">
        <v>-40894.46</v>
      </c>
      <c r="G38" s="20">
        <v>-32049.856</v>
      </c>
      <c r="H38" s="20">
        <v>-71213.471999999994</v>
      </c>
      <c r="I38" s="192">
        <v>0</v>
      </c>
      <c r="J38" s="103">
        <v>0</v>
      </c>
      <c r="K38" s="103">
        <v>0</v>
      </c>
      <c r="L38" s="103">
        <v>0</v>
      </c>
      <c r="M38" s="103">
        <v>0</v>
      </c>
      <c r="N38" s="213"/>
      <c r="O38" s="213"/>
      <c r="P38" s="213"/>
      <c r="Q38" s="213"/>
      <c r="R38" s="213"/>
      <c r="S38" s="7"/>
      <c r="T38" s="7"/>
      <c r="U38" s="7"/>
      <c r="V38" s="7"/>
      <c r="W38" s="7"/>
      <c r="X38" s="7"/>
      <c r="Y38" s="7"/>
      <c r="Z38" s="7"/>
    </row>
    <row r="39" spans="1:26" ht="15.75" customHeight="1">
      <c r="A39" s="7"/>
      <c r="B39" s="16" t="s">
        <v>307</v>
      </c>
      <c r="C39" s="29" t="s">
        <v>53</v>
      </c>
      <c r="D39" s="20">
        <v>24988.525000000001</v>
      </c>
      <c r="E39" s="20">
        <v>44984.413</v>
      </c>
      <c r="F39" s="20">
        <v>30764.721000000001</v>
      </c>
      <c r="G39" s="20">
        <v>40894.457999999999</v>
      </c>
      <c r="H39" s="20">
        <v>55049.857000000004</v>
      </c>
      <c r="I39" s="192">
        <v>0</v>
      </c>
      <c r="J39" s="103">
        <v>0</v>
      </c>
      <c r="K39" s="103">
        <v>0</v>
      </c>
      <c r="L39" s="103">
        <v>0</v>
      </c>
      <c r="M39" s="103">
        <v>0</v>
      </c>
      <c r="N39" s="213"/>
      <c r="O39" s="213"/>
      <c r="P39" s="213"/>
      <c r="Q39" s="213"/>
      <c r="R39" s="213"/>
      <c r="S39" s="7"/>
      <c r="T39" s="7"/>
      <c r="U39" s="7"/>
      <c r="V39" s="7"/>
      <c r="W39" s="7"/>
      <c r="X39" s="7"/>
      <c r="Y39" s="7"/>
      <c r="Z39" s="7"/>
    </row>
    <row r="40" spans="1:26" ht="15.75" customHeight="1">
      <c r="A40" s="7"/>
      <c r="B40" s="16" t="s">
        <v>308</v>
      </c>
      <c r="C40" s="29" t="s">
        <v>53</v>
      </c>
      <c r="D40" s="20">
        <v>-30924.861000000001</v>
      </c>
      <c r="E40" s="20">
        <v>-35649.014999999999</v>
      </c>
      <c r="F40" s="20">
        <v>-47759.298999999999</v>
      </c>
      <c r="G40" s="20">
        <v>-70512.377999999997</v>
      </c>
      <c r="H40" s="20">
        <v>-51229.824999999997</v>
      </c>
      <c r="I40" s="192">
        <f>-'Balance Assumptions'!I61</f>
        <v>-34677.74437066145</v>
      </c>
      <c r="J40" s="103">
        <f>-'Balance Assumptions'!J61</f>
        <v>-35569.103335514315</v>
      </c>
      <c r="K40" s="103">
        <f>-'Balance Assumptions'!K61</f>
        <v>-33907.747979841639</v>
      </c>
      <c r="L40" s="103">
        <f>-'Balance Assumptions'!L61</f>
        <v>-34750.40744446696</v>
      </c>
      <c r="M40" s="103">
        <f>-'Balance Assumptions'!M61</f>
        <v>-32898.794014795312</v>
      </c>
      <c r="N40" s="7"/>
      <c r="O40" s="7"/>
      <c r="P40" s="7"/>
      <c r="Q40" s="7"/>
      <c r="R40" s="7"/>
      <c r="S40" s="7"/>
      <c r="T40" s="7"/>
      <c r="U40" s="7"/>
      <c r="V40" s="7"/>
      <c r="W40" s="7"/>
      <c r="X40" s="7"/>
      <c r="Y40" s="7"/>
      <c r="Z40" s="7"/>
    </row>
    <row r="41" spans="1:26" ht="15.75" customHeight="1">
      <c r="A41" s="7"/>
      <c r="B41" s="16" t="s">
        <v>309</v>
      </c>
      <c r="C41" s="29" t="s">
        <v>53</v>
      </c>
      <c r="D41" s="20">
        <v>-2451.59</v>
      </c>
      <c r="E41" s="20">
        <v>-2340.42</v>
      </c>
      <c r="F41" s="20">
        <v>-4233.8459999999995</v>
      </c>
      <c r="G41" s="20">
        <v>-2239.79</v>
      </c>
      <c r="H41" s="20">
        <v>-2703.4549999999999</v>
      </c>
      <c r="I41" s="192">
        <f>-'Debt Schedule'!I65</f>
        <v>-3000</v>
      </c>
      <c r="J41" s="103">
        <f>-'Debt Schedule'!J65</f>
        <v>-3000</v>
      </c>
      <c r="K41" s="103">
        <f>-'Debt Schedule'!K65</f>
        <v>-3000</v>
      </c>
      <c r="L41" s="103">
        <f>-'Debt Schedule'!L65</f>
        <v>-3000</v>
      </c>
      <c r="M41" s="103">
        <f>-'Debt Schedule'!M65</f>
        <v>-3000</v>
      </c>
      <c r="N41" s="7"/>
      <c r="O41" s="7"/>
      <c r="P41" s="7"/>
      <c r="Q41" s="7"/>
      <c r="R41" s="7"/>
      <c r="S41" s="7"/>
      <c r="T41" s="7"/>
      <c r="U41" s="7"/>
      <c r="V41" s="7"/>
      <c r="W41" s="7"/>
      <c r="X41" s="7"/>
      <c r="Y41" s="7"/>
      <c r="Z41" s="7"/>
    </row>
    <row r="42" spans="1:26" ht="15.75" customHeight="1">
      <c r="A42" s="7"/>
      <c r="B42" s="16" t="s">
        <v>310</v>
      </c>
      <c r="C42" s="29" t="s">
        <v>53</v>
      </c>
      <c r="D42" s="20">
        <v>1798.325</v>
      </c>
      <c r="E42" s="20">
        <v>0</v>
      </c>
      <c r="F42" s="20">
        <v>0</v>
      </c>
      <c r="G42" s="20">
        <v>0</v>
      </c>
      <c r="H42" s="20">
        <v>477.678</v>
      </c>
      <c r="I42" s="192">
        <v>0</v>
      </c>
      <c r="J42" s="103">
        <v>0</v>
      </c>
      <c r="K42" s="103">
        <v>0</v>
      </c>
      <c r="L42" s="103">
        <v>0</v>
      </c>
      <c r="M42" s="103">
        <v>0</v>
      </c>
      <c r="N42" s="7"/>
      <c r="O42" s="7"/>
      <c r="P42" s="7"/>
      <c r="Q42" s="7"/>
      <c r="R42" s="7"/>
      <c r="S42" s="7"/>
      <c r="T42" s="7"/>
      <c r="U42" s="7"/>
      <c r="V42" s="7"/>
      <c r="W42" s="7"/>
      <c r="X42" s="7"/>
      <c r="Y42" s="7"/>
      <c r="Z42" s="7"/>
    </row>
    <row r="43" spans="1:26" ht="15.75" customHeight="1">
      <c r="A43" s="7"/>
      <c r="B43" s="245" t="s">
        <v>311</v>
      </c>
      <c r="C43" s="217" t="s">
        <v>53</v>
      </c>
      <c r="D43" s="158">
        <v>1496.615</v>
      </c>
      <c r="E43" s="158">
        <v>0</v>
      </c>
      <c r="F43" s="158">
        <v>0</v>
      </c>
      <c r="G43" s="158">
        <v>0</v>
      </c>
      <c r="H43" s="158">
        <v>0</v>
      </c>
      <c r="I43" s="246">
        <v>0</v>
      </c>
      <c r="J43" s="247">
        <v>0</v>
      </c>
      <c r="K43" s="247">
        <v>0</v>
      </c>
      <c r="L43" s="247">
        <v>0</v>
      </c>
      <c r="M43" s="247">
        <v>0</v>
      </c>
      <c r="N43" s="7"/>
      <c r="O43" s="7"/>
      <c r="P43" s="7"/>
      <c r="Q43" s="7"/>
      <c r="R43" s="7"/>
      <c r="S43" s="7"/>
      <c r="T43" s="7"/>
      <c r="U43" s="7"/>
      <c r="V43" s="7"/>
      <c r="W43" s="7"/>
      <c r="X43" s="7"/>
      <c r="Y43" s="7"/>
      <c r="Z43" s="7"/>
    </row>
    <row r="44" spans="1:26" ht="15.75" customHeight="1">
      <c r="A44" s="7"/>
      <c r="B44" s="14" t="s">
        <v>312</v>
      </c>
      <c r="C44" s="55" t="s">
        <v>53</v>
      </c>
      <c r="D44" s="57">
        <f t="shared" ref="D44:M44" si="2">SUM(D35:D43)</f>
        <v>-75946.767999999996</v>
      </c>
      <c r="E44" s="57">
        <f t="shared" si="2"/>
        <v>-18566.781999999999</v>
      </c>
      <c r="F44" s="57">
        <f t="shared" si="2"/>
        <v>-71828.853000000003</v>
      </c>
      <c r="G44" s="57">
        <f t="shared" si="2"/>
        <v>-52388.042000000001</v>
      </c>
      <c r="H44" s="57">
        <f t="shared" si="2"/>
        <v>-66860.831999999995</v>
      </c>
      <c r="I44" s="94">
        <f t="shared" si="2"/>
        <v>-35157.736168742216</v>
      </c>
      <c r="J44" s="57">
        <f t="shared" si="2"/>
        <v>-36473.384407155536</v>
      </c>
      <c r="K44" s="57">
        <f t="shared" si="2"/>
        <v>-34786.21298725465</v>
      </c>
      <c r="L44" s="57">
        <f t="shared" si="2"/>
        <v>-35597.929234998868</v>
      </c>
      <c r="M44" s="57">
        <f t="shared" si="2"/>
        <v>-33719.831142371273</v>
      </c>
      <c r="N44" s="7"/>
      <c r="O44" s="7"/>
      <c r="P44" s="7"/>
      <c r="Q44" s="7"/>
      <c r="R44" s="7"/>
      <c r="S44" s="7"/>
      <c r="T44" s="7"/>
      <c r="U44" s="7"/>
      <c r="V44" s="7"/>
      <c r="W44" s="7"/>
      <c r="X44" s="7"/>
      <c r="Y44" s="7"/>
      <c r="Z44" s="7"/>
    </row>
    <row r="45" spans="1:26" ht="15.75" customHeight="1">
      <c r="A45" s="7"/>
      <c r="B45" s="7"/>
      <c r="C45" s="29"/>
      <c r="D45" s="30"/>
      <c r="E45" s="30"/>
      <c r="F45" s="30"/>
      <c r="G45" s="30"/>
      <c r="H45" s="20"/>
      <c r="I45" s="122"/>
      <c r="J45" s="20"/>
      <c r="K45" s="20"/>
      <c r="L45" s="20"/>
      <c r="M45" s="20"/>
      <c r="N45" s="207"/>
      <c r="O45" s="207"/>
      <c r="P45" s="207"/>
      <c r="Q45" s="207"/>
      <c r="R45" s="207"/>
      <c r="S45" s="207"/>
      <c r="T45" s="207"/>
      <c r="U45" s="207"/>
      <c r="V45" s="207"/>
      <c r="W45" s="7"/>
      <c r="X45" s="7"/>
      <c r="Y45" s="7"/>
      <c r="Z45" s="7"/>
    </row>
    <row r="46" spans="1:26" ht="15.75" customHeight="1">
      <c r="A46" s="7"/>
      <c r="B46" s="64" t="s">
        <v>313</v>
      </c>
      <c r="C46" s="29"/>
      <c r="D46" s="30"/>
      <c r="E46" s="30"/>
      <c r="F46" s="30"/>
      <c r="G46" s="30"/>
      <c r="H46" s="20"/>
      <c r="I46" s="122"/>
      <c r="J46" s="20"/>
      <c r="K46" s="20"/>
      <c r="L46" s="20"/>
      <c r="M46" s="20"/>
      <c r="N46" s="207"/>
      <c r="O46" s="207"/>
      <c r="P46" s="207"/>
      <c r="Q46" s="207"/>
      <c r="R46" s="207"/>
      <c r="S46" s="207"/>
      <c r="T46" s="207"/>
      <c r="U46" s="207"/>
      <c r="V46" s="207"/>
      <c r="W46" s="7"/>
      <c r="X46" s="7"/>
      <c r="Y46" s="7"/>
      <c r="Z46" s="7"/>
    </row>
    <row r="47" spans="1:26" ht="15.75" customHeight="1">
      <c r="A47" s="7"/>
      <c r="B47" s="16" t="s">
        <v>314</v>
      </c>
      <c r="C47" s="29" t="s">
        <v>53</v>
      </c>
      <c r="D47" s="20">
        <v>0</v>
      </c>
      <c r="E47" s="20">
        <v>-2520</v>
      </c>
      <c r="F47" s="20">
        <f>'Balance Sheet'!E32*-1</f>
        <v>-4162</v>
      </c>
      <c r="G47" s="20">
        <f>'Balance Sheet'!F32*-1</f>
        <v>-4162</v>
      </c>
      <c r="H47" s="20">
        <f>'Balance Sheet'!G32*-1</f>
        <v>-9060.75</v>
      </c>
      <c r="I47" s="192">
        <f>'Debt Schedule'!I6</f>
        <v>-29060.75</v>
      </c>
      <c r="J47" s="103">
        <f>'Debt Schedule'!J6</f>
        <v>-5727.416666666667</v>
      </c>
      <c r="K47" s="103">
        <f>'Debt Schedule'!K6</f>
        <v>-1565.4166666666667</v>
      </c>
      <c r="L47" s="103">
        <f>'Debt Schedule'!L6</f>
        <v>-1565.4166666666667</v>
      </c>
      <c r="M47" s="103">
        <f>'Debt Schedule'!M6</f>
        <v>-1565.4166666666667</v>
      </c>
      <c r="N47" s="207"/>
      <c r="O47" s="207"/>
      <c r="P47" s="207"/>
      <c r="Q47" s="207"/>
      <c r="R47" s="207"/>
      <c r="S47" s="207"/>
      <c r="T47" s="207"/>
      <c r="U47" s="207"/>
      <c r="V47" s="207"/>
      <c r="W47" s="7"/>
      <c r="X47" s="7"/>
      <c r="Y47" s="7"/>
      <c r="Z47" s="7"/>
    </row>
    <row r="48" spans="1:26" ht="15.75" customHeight="1">
      <c r="A48" s="7"/>
      <c r="B48" s="16" t="s">
        <v>315</v>
      </c>
      <c r="C48" s="29" t="s">
        <v>53</v>
      </c>
      <c r="D48" s="20">
        <v>-21114.616000000002</v>
      </c>
      <c r="E48" s="20">
        <v>-1361.567</v>
      </c>
      <c r="F48" s="20">
        <v>-1342.692</v>
      </c>
      <c r="G48" s="20">
        <v>-2142.9699999999998</v>
      </c>
      <c r="H48" s="20">
        <f>-1453.98</f>
        <v>-1453.98</v>
      </c>
      <c r="I48" s="192">
        <f>'Debt Schedule'!I47</f>
        <v>-1483.0596</v>
      </c>
      <c r="J48" s="103">
        <f>'Debt Schedule'!J47</f>
        <v>-1512.7207920000001</v>
      </c>
      <c r="K48" s="103">
        <f>'Debt Schedule'!K47</f>
        <v>-1542.9752078400002</v>
      </c>
      <c r="L48" s="103">
        <f>'Debt Schedule'!L47</f>
        <v>-1573.8347119968003</v>
      </c>
      <c r="M48" s="103">
        <f>'Debt Schedule'!M47</f>
        <v>-1605.3114062367363</v>
      </c>
      <c r="N48" s="207"/>
      <c r="O48" s="207"/>
      <c r="P48" s="207"/>
      <c r="Q48" s="207"/>
      <c r="R48" s="207"/>
      <c r="S48" s="207"/>
      <c r="T48" s="207"/>
      <c r="U48" s="207"/>
      <c r="V48" s="207"/>
      <c r="W48" s="7"/>
      <c r="X48" s="7"/>
      <c r="Y48" s="7"/>
      <c r="Z48" s="7"/>
    </row>
    <row r="49" spans="1:26" ht="15.75" customHeight="1">
      <c r="A49" s="7"/>
      <c r="B49" s="16" t="s">
        <v>316</v>
      </c>
      <c r="C49" s="29" t="s">
        <v>53</v>
      </c>
      <c r="D49" s="20">
        <v>-9802.1980000000003</v>
      </c>
      <c r="E49" s="20">
        <v>-9679.527</v>
      </c>
      <c r="F49" s="20">
        <v>-9103.6239999999998</v>
      </c>
      <c r="G49" s="20">
        <v>-8642.5290000000005</v>
      </c>
      <c r="H49" s="20">
        <v>-9073.9339999999993</v>
      </c>
      <c r="I49" s="192">
        <f>'Income Statement'!I36</f>
        <v>-7116.6672595806067</v>
      </c>
      <c r="J49" s="103">
        <f>'Income Statement'!J36</f>
        <v>-5309.191602079828</v>
      </c>
      <c r="K49" s="103">
        <f>'Income Statement'!K36</f>
        <v>-4828.4680223057867</v>
      </c>
      <c r="L49" s="103">
        <f>'Income Statement'!L36</f>
        <v>-4546.3937633559171</v>
      </c>
      <c r="M49" s="103">
        <f>'Income Statement'!M36</f>
        <v>-4261.7052286905364</v>
      </c>
      <c r="N49" s="207"/>
      <c r="O49" s="207"/>
      <c r="P49" s="207"/>
      <c r="Q49" s="207"/>
      <c r="R49" s="207"/>
      <c r="S49" s="207"/>
      <c r="T49" s="207"/>
      <c r="U49" s="207"/>
      <c r="V49" s="207"/>
      <c r="W49" s="7"/>
      <c r="X49" s="7"/>
      <c r="Y49" s="7"/>
      <c r="Z49" s="7"/>
    </row>
    <row r="50" spans="1:26" ht="15.75" customHeight="1">
      <c r="A50" s="7"/>
      <c r="B50" s="16" t="s">
        <v>317</v>
      </c>
      <c r="C50" s="29" t="s">
        <v>53</v>
      </c>
      <c r="D50" s="20">
        <v>-908.06899999999996</v>
      </c>
      <c r="E50" s="20">
        <v>-24.096</v>
      </c>
      <c r="F50" s="20">
        <v>-205.05799999999999</v>
      </c>
      <c r="G50" s="20">
        <v>0</v>
      </c>
      <c r="H50" s="20">
        <v>-945.69100000000003</v>
      </c>
      <c r="I50" s="192">
        <v>0</v>
      </c>
      <c r="J50" s="103">
        <v>0</v>
      </c>
      <c r="K50" s="103">
        <v>0</v>
      </c>
      <c r="L50" s="103">
        <v>0</v>
      </c>
      <c r="M50" s="103">
        <v>0</v>
      </c>
      <c r="N50" s="207"/>
      <c r="O50" s="207"/>
      <c r="P50" s="207"/>
      <c r="Q50" s="207"/>
      <c r="R50" s="207"/>
      <c r="S50" s="207"/>
      <c r="T50" s="207"/>
      <c r="U50" s="207"/>
      <c r="V50" s="207"/>
      <c r="W50" s="7"/>
      <c r="X50" s="7"/>
      <c r="Y50" s="7"/>
      <c r="Z50" s="7"/>
    </row>
    <row r="51" spans="1:26" ht="15.75" customHeight="1">
      <c r="A51" s="7"/>
      <c r="B51" s="16" t="s">
        <v>318</v>
      </c>
      <c r="C51" s="29" t="s">
        <v>53</v>
      </c>
      <c r="D51" s="20">
        <v>0</v>
      </c>
      <c r="E51" s="20">
        <v>143.411</v>
      </c>
      <c r="F51" s="20">
        <v>292.52999999999997</v>
      </c>
      <c r="G51" s="20">
        <v>19.309999999999999</v>
      </c>
      <c r="H51" s="20">
        <v>125.51</v>
      </c>
      <c r="I51" s="192">
        <v>0</v>
      </c>
      <c r="J51" s="103">
        <v>0</v>
      </c>
      <c r="K51" s="103">
        <v>0</v>
      </c>
      <c r="L51" s="103">
        <v>0</v>
      </c>
      <c r="M51" s="103">
        <v>0</v>
      </c>
      <c r="N51" s="207"/>
      <c r="O51" s="207"/>
      <c r="P51" s="207"/>
      <c r="Q51" s="207"/>
      <c r="R51" s="207"/>
      <c r="S51" s="207"/>
      <c r="T51" s="207"/>
      <c r="U51" s="207"/>
      <c r="V51" s="207"/>
      <c r="W51" s="7"/>
      <c r="X51" s="7"/>
      <c r="Y51" s="7"/>
      <c r="Z51" s="7"/>
    </row>
    <row r="52" spans="1:26" ht="15.75" customHeight="1">
      <c r="A52" s="7"/>
      <c r="B52" s="16" t="s">
        <v>232</v>
      </c>
      <c r="C52" s="29" t="s">
        <v>53</v>
      </c>
      <c r="D52" s="20">
        <f>'Income Statement'!D57*-1</f>
        <v>0</v>
      </c>
      <c r="E52" s="20">
        <f>'Income Statement'!E57*-1</f>
        <v>0</v>
      </c>
      <c r="F52" s="20">
        <f>'Income Statement'!F57*-1</f>
        <v>-5210.1120000000001</v>
      </c>
      <c r="G52" s="20">
        <f>'Income Statement'!G57*-1</f>
        <v>-5239.8869999999997</v>
      </c>
      <c r="H52" s="20">
        <f>'Income Statement'!H57*-1</f>
        <v>-6913.9989999999998</v>
      </c>
      <c r="I52" s="192">
        <f>-'Income Statement'!I57</f>
        <v>-14000</v>
      </c>
      <c r="J52" s="103">
        <f>-'Income Statement'!J57</f>
        <v>-14000</v>
      </c>
      <c r="K52" s="103">
        <f>-'Income Statement'!K57</f>
        <v>-14000</v>
      </c>
      <c r="L52" s="103">
        <f>-'Income Statement'!L57</f>
        <v>-14000</v>
      </c>
      <c r="M52" s="103">
        <f>-'Income Statement'!M57</f>
        <v>-14000</v>
      </c>
      <c r="N52" s="207"/>
      <c r="O52" s="207"/>
      <c r="P52" s="207"/>
      <c r="Q52" s="207"/>
      <c r="R52" s="207"/>
      <c r="S52" s="207"/>
      <c r="T52" s="207"/>
      <c r="U52" s="207"/>
      <c r="V52" s="207"/>
      <c r="W52" s="7"/>
      <c r="X52" s="7"/>
      <c r="Y52" s="7"/>
      <c r="Z52" s="7"/>
    </row>
    <row r="53" spans="1:26" ht="15.75" customHeight="1">
      <c r="A53" s="7"/>
      <c r="B53" s="16" t="s">
        <v>319</v>
      </c>
      <c r="C53" s="29" t="s">
        <v>53</v>
      </c>
      <c r="D53" s="20">
        <v>0</v>
      </c>
      <c r="E53" s="20">
        <v>0</v>
      </c>
      <c r="F53" s="20">
        <v>0</v>
      </c>
      <c r="G53" s="20">
        <v>0</v>
      </c>
      <c r="H53" s="20">
        <v>-81.510000000000005</v>
      </c>
      <c r="I53" s="192">
        <v>0</v>
      </c>
      <c r="J53" s="103">
        <v>0</v>
      </c>
      <c r="K53" s="103">
        <v>0</v>
      </c>
      <c r="L53" s="103">
        <v>0</v>
      </c>
      <c r="M53" s="103">
        <v>0</v>
      </c>
      <c r="N53" s="207"/>
      <c r="O53" s="207"/>
      <c r="P53" s="207"/>
      <c r="Q53" s="207"/>
      <c r="R53" s="207"/>
      <c r="S53" s="207"/>
      <c r="T53" s="207"/>
      <c r="U53" s="207"/>
      <c r="V53" s="207"/>
      <c r="W53" s="7"/>
      <c r="X53" s="7"/>
      <c r="Y53" s="7"/>
      <c r="Z53" s="7"/>
    </row>
    <row r="54" spans="1:26" ht="15.75" customHeight="1">
      <c r="A54" s="7"/>
      <c r="B54" s="16" t="s">
        <v>320</v>
      </c>
      <c r="C54" s="29" t="s">
        <v>53</v>
      </c>
      <c r="D54" s="20">
        <v>-37235.338000000003</v>
      </c>
      <c r="E54" s="20">
        <v>0</v>
      </c>
      <c r="F54" s="20">
        <v>-31027</v>
      </c>
      <c r="G54" s="20">
        <v>-14000</v>
      </c>
      <c r="H54" s="20">
        <v>0</v>
      </c>
      <c r="I54" s="192">
        <v>-1604</v>
      </c>
      <c r="J54" s="103">
        <v>0</v>
      </c>
      <c r="K54" s="103">
        <v>0</v>
      </c>
      <c r="L54" s="103">
        <v>0</v>
      </c>
      <c r="M54" s="103">
        <v>0</v>
      </c>
      <c r="O54" s="271"/>
      <c r="P54" s="271"/>
      <c r="Q54" s="271"/>
      <c r="R54" s="271"/>
      <c r="S54" s="207"/>
      <c r="T54" s="207"/>
      <c r="U54" s="207"/>
      <c r="V54" s="207"/>
      <c r="W54" s="7"/>
      <c r="X54" s="7"/>
      <c r="Y54" s="7"/>
      <c r="Z54" s="7"/>
    </row>
    <row r="55" spans="1:26" ht="15.75" customHeight="1">
      <c r="A55" s="7"/>
      <c r="B55" s="16" t="s">
        <v>321</v>
      </c>
      <c r="C55" s="29" t="s">
        <v>53</v>
      </c>
      <c r="D55" s="20">
        <v>0</v>
      </c>
      <c r="E55" s="20">
        <v>0</v>
      </c>
      <c r="F55" s="20">
        <v>47552.544999999998</v>
      </c>
      <c r="G55" s="20">
        <v>0</v>
      </c>
      <c r="H55" s="20">
        <v>60858.355000000003</v>
      </c>
      <c r="I55" s="192">
        <v>0</v>
      </c>
      <c r="J55" s="103">
        <v>0</v>
      </c>
      <c r="K55" s="103">
        <v>0</v>
      </c>
      <c r="L55" s="103">
        <v>0</v>
      </c>
      <c r="M55" s="103">
        <v>0</v>
      </c>
      <c r="N55" s="630" t="s">
        <v>322</v>
      </c>
      <c r="O55" s="602"/>
      <c r="P55" s="602"/>
      <c r="Q55" s="602"/>
      <c r="R55" s="602"/>
      <c r="S55" s="602"/>
      <c r="T55" s="602"/>
      <c r="U55" s="52"/>
      <c r="V55" s="207"/>
      <c r="W55" s="7"/>
      <c r="X55" s="7"/>
      <c r="Y55" s="7"/>
      <c r="Z55" s="7"/>
    </row>
    <row r="56" spans="1:26" ht="15.75" customHeight="1">
      <c r="A56" s="7"/>
      <c r="B56" s="16" t="s">
        <v>235</v>
      </c>
      <c r="C56" s="29" t="s">
        <v>53</v>
      </c>
      <c r="D56" s="20">
        <v>-18617.338</v>
      </c>
      <c r="E56" s="20">
        <v>-17270</v>
      </c>
      <c r="F56" s="20">
        <v>-21589.063999999998</v>
      </c>
      <c r="G56" s="20">
        <v>-17571.589</v>
      </c>
      <c r="H56" s="20">
        <v>-19767.199000000001</v>
      </c>
      <c r="I56" s="192">
        <f>-'Debt Schedule'!I36</f>
        <v>-20000</v>
      </c>
      <c r="J56" s="103">
        <f>-'Debt Schedule'!J36</f>
        <v>-20000</v>
      </c>
      <c r="K56" s="103">
        <f>-'Debt Schedule'!K36</f>
        <v>-20000</v>
      </c>
      <c r="L56" s="103">
        <f>-'Debt Schedule'!L36</f>
        <v>-20000</v>
      </c>
      <c r="M56" s="103">
        <f>-'Debt Schedule'!M36</f>
        <v>-20000</v>
      </c>
      <c r="N56" s="558"/>
      <c r="O56" s="558"/>
      <c r="P56" s="558"/>
      <c r="Q56" s="558"/>
      <c r="R56" s="558"/>
      <c r="S56" s="558"/>
      <c r="T56" s="558"/>
      <c r="U56" s="207"/>
      <c r="V56" s="207"/>
      <c r="W56" s="7"/>
      <c r="X56" s="7"/>
      <c r="Y56" s="7"/>
      <c r="Z56" s="7"/>
    </row>
    <row r="57" spans="1:26" ht="15.75" customHeight="1">
      <c r="A57" s="7"/>
      <c r="B57" s="272" t="s">
        <v>323</v>
      </c>
      <c r="C57" s="217"/>
      <c r="D57" s="158"/>
      <c r="E57" s="158"/>
      <c r="F57" s="158"/>
      <c r="G57" s="158"/>
      <c r="H57" s="158"/>
      <c r="I57" s="273">
        <f t="shared" ref="I57:M57" si="3">-MAX(0,H62+I32+I44+SUM(I47:I56)-I63)</f>
        <v>-7773.8149433873841</v>
      </c>
      <c r="J57" s="274">
        <f t="shared" si="3"/>
        <v>-11344.328528224061</v>
      </c>
      <c r="K57" s="274">
        <f t="shared" si="3"/>
        <v>-23140.046541769414</v>
      </c>
      <c r="L57" s="274">
        <f t="shared" si="3"/>
        <v>-24505.011230697964</v>
      </c>
      <c r="M57" s="274">
        <f t="shared" si="3"/>
        <v>-31276.378134447266</v>
      </c>
      <c r="N57" s="625" t="s">
        <v>324</v>
      </c>
      <c r="O57" s="602"/>
      <c r="P57" s="602"/>
      <c r="Q57" s="602"/>
      <c r="R57" s="552"/>
      <c r="S57" s="558"/>
      <c r="T57" s="558"/>
      <c r="U57" s="207"/>
      <c r="V57" s="207"/>
      <c r="W57" s="7"/>
      <c r="X57" s="7"/>
      <c r="Y57" s="7"/>
      <c r="Z57" s="7"/>
    </row>
    <row r="58" spans="1:26" ht="15.75" customHeight="1">
      <c r="A58" s="7"/>
      <c r="B58" s="14" t="s">
        <v>325</v>
      </c>
      <c r="C58" s="55" t="s">
        <v>53</v>
      </c>
      <c r="D58" s="57">
        <f t="shared" ref="D58:H58" si="4">SUM(D47:D56)</f>
        <v>-87677.559000000008</v>
      </c>
      <c r="E58" s="57">
        <f t="shared" si="4"/>
        <v>-30711.779000000002</v>
      </c>
      <c r="F58" s="57">
        <f t="shared" si="4"/>
        <v>-24794.474999999999</v>
      </c>
      <c r="G58" s="57">
        <f t="shared" si="4"/>
        <v>-51739.665000000001</v>
      </c>
      <c r="H58" s="57">
        <f t="shared" si="4"/>
        <v>13686.802000000003</v>
      </c>
      <c r="I58" s="94">
        <f t="shared" ref="I58:M58" si="5">SUM(I47:I57)</f>
        <v>-81038.291802967986</v>
      </c>
      <c r="J58" s="57">
        <f t="shared" si="5"/>
        <v>-57893.657588970556</v>
      </c>
      <c r="K58" s="57">
        <f t="shared" si="5"/>
        <v>-65076.906438581871</v>
      </c>
      <c r="L58" s="57">
        <f t="shared" si="5"/>
        <v>-66190.656372717349</v>
      </c>
      <c r="M58" s="57">
        <f t="shared" si="5"/>
        <v>-72708.8114360412</v>
      </c>
      <c r="W58" s="7"/>
      <c r="X58" s="7"/>
      <c r="Y58" s="7"/>
      <c r="Z58" s="7"/>
    </row>
    <row r="59" spans="1:26" ht="15.75" customHeight="1">
      <c r="A59" s="7"/>
      <c r="B59" s="7"/>
      <c r="C59" s="29"/>
      <c r="D59" s="30"/>
      <c r="E59" s="30"/>
      <c r="F59" s="30"/>
      <c r="G59" s="30"/>
      <c r="H59" s="20"/>
      <c r="I59" s="122"/>
      <c r="J59" s="20"/>
      <c r="K59" s="20"/>
      <c r="L59" s="20"/>
      <c r="M59" s="20"/>
      <c r="N59" s="213"/>
      <c r="O59" s="213"/>
      <c r="P59" s="52"/>
      <c r="Q59" s="7"/>
      <c r="R59" s="7"/>
      <c r="S59" s="7"/>
      <c r="T59" s="7"/>
      <c r="U59" s="7"/>
      <c r="V59" s="7"/>
      <c r="W59" s="7"/>
      <c r="X59" s="7"/>
      <c r="Y59" s="7"/>
      <c r="Z59" s="7"/>
    </row>
    <row r="60" spans="1:26" ht="15.75" customHeight="1">
      <c r="A60" s="7"/>
      <c r="B60" s="14" t="s">
        <v>326</v>
      </c>
      <c r="C60" s="55" t="s">
        <v>53</v>
      </c>
      <c r="D60" s="57">
        <f t="shared" ref="D60:M60" si="6">D32+D44+D58</f>
        <v>-117068.49600000001</v>
      </c>
      <c r="E60" s="57">
        <f t="shared" si="6"/>
        <v>15854.785000000025</v>
      </c>
      <c r="F60" s="57">
        <f t="shared" si="6"/>
        <v>-20120.607000000025</v>
      </c>
      <c r="G60" s="57">
        <f t="shared" si="6"/>
        <v>-24433.510000000017</v>
      </c>
      <c r="H60" s="57">
        <f t="shared" si="6"/>
        <v>39954.613999999994</v>
      </c>
      <c r="I60" s="124">
        <f t="shared" si="6"/>
        <v>-19549.508184769315</v>
      </c>
      <c r="J60" s="56">
        <f t="shared" si="6"/>
        <v>1273.3699497898051</v>
      </c>
      <c r="K60" s="56">
        <f t="shared" si="6"/>
        <v>1352.7613578128439</v>
      </c>
      <c r="L60" s="56">
        <f t="shared" si="6"/>
        <v>1296.399176346662</v>
      </c>
      <c r="M60" s="56">
        <f t="shared" si="6"/>
        <v>1369.1580588122597</v>
      </c>
      <c r="N60" s="213"/>
      <c r="O60" s="213"/>
      <c r="P60" s="52"/>
      <c r="Q60" s="7"/>
      <c r="R60" s="7"/>
      <c r="S60" s="7"/>
      <c r="T60" s="7"/>
      <c r="U60" s="7"/>
      <c r="V60" s="7"/>
      <c r="W60" s="7"/>
      <c r="X60" s="7"/>
      <c r="Y60" s="7"/>
      <c r="Z60" s="7"/>
    </row>
    <row r="61" spans="1:26" ht="15.75" customHeight="1">
      <c r="A61" s="7"/>
      <c r="B61" s="7" t="s">
        <v>327</v>
      </c>
      <c r="C61" s="29" t="s">
        <v>53</v>
      </c>
      <c r="D61" s="130">
        <v>174902.35699999999</v>
      </c>
      <c r="E61" s="20">
        <v>57833.860999999975</v>
      </c>
      <c r="F61" s="20">
        <v>73688.646000000008</v>
      </c>
      <c r="G61" s="20">
        <v>53568.038999999982</v>
      </c>
      <c r="H61" s="20">
        <v>29134.528999999966</v>
      </c>
      <c r="I61" s="20">
        <f t="shared" ref="I61:M61" si="7">H62</f>
        <v>69089.142999999953</v>
      </c>
      <c r="J61" s="20">
        <f t="shared" si="7"/>
        <v>49539.634815230638</v>
      </c>
      <c r="K61" s="20">
        <f t="shared" si="7"/>
        <v>50813.004765020443</v>
      </c>
      <c r="L61" s="20">
        <f t="shared" si="7"/>
        <v>52165.766122833287</v>
      </c>
      <c r="M61" s="20">
        <f t="shared" si="7"/>
        <v>53462.165299179949</v>
      </c>
      <c r="N61" s="213"/>
      <c r="O61" s="213"/>
      <c r="P61" s="52"/>
      <c r="Q61" s="7"/>
      <c r="R61" s="7"/>
      <c r="S61" s="7"/>
      <c r="T61" s="7"/>
      <c r="U61" s="7"/>
      <c r="V61" s="7"/>
      <c r="W61" s="7"/>
      <c r="X61" s="7"/>
      <c r="Y61" s="7"/>
      <c r="Z61" s="7"/>
    </row>
    <row r="62" spans="1:26" ht="15.75" customHeight="1">
      <c r="A62" s="7"/>
      <c r="B62" s="7" t="s">
        <v>328</v>
      </c>
      <c r="C62" s="29" t="s">
        <v>53</v>
      </c>
      <c r="D62" s="20">
        <v>57833.860999999975</v>
      </c>
      <c r="E62" s="20">
        <v>73688.646000000008</v>
      </c>
      <c r="F62" s="20">
        <v>53568.038999999982</v>
      </c>
      <c r="G62" s="20">
        <v>29134.528999999966</v>
      </c>
      <c r="H62" s="20">
        <v>69089.142999999953</v>
      </c>
      <c r="I62" s="20">
        <f t="shared" ref="I62:M62" si="8">SUM(I60:I61)</f>
        <v>49539.634815230638</v>
      </c>
      <c r="J62" s="20">
        <f t="shared" si="8"/>
        <v>50813.004765020443</v>
      </c>
      <c r="K62" s="20">
        <f t="shared" si="8"/>
        <v>52165.766122833287</v>
      </c>
      <c r="L62" s="20">
        <f t="shared" si="8"/>
        <v>53462.165299179949</v>
      </c>
      <c r="M62" s="20">
        <f t="shared" si="8"/>
        <v>54831.323357992209</v>
      </c>
      <c r="N62" s="52"/>
      <c r="O62" s="52"/>
      <c r="P62" s="52"/>
      <c r="Q62" s="7"/>
      <c r="R62" s="7"/>
      <c r="S62" s="7"/>
      <c r="T62" s="7"/>
      <c r="U62" s="7"/>
      <c r="V62" s="7"/>
      <c r="W62" s="7"/>
      <c r="X62" s="7"/>
      <c r="Y62" s="7"/>
      <c r="Z62" s="7"/>
    </row>
    <row r="63" spans="1:26" ht="15.75" customHeight="1">
      <c r="A63" s="7"/>
      <c r="B63" s="275" t="s">
        <v>329</v>
      </c>
      <c r="C63" s="276"/>
      <c r="D63" s="276"/>
      <c r="E63" s="276"/>
      <c r="F63" s="276"/>
      <c r="G63" s="276"/>
      <c r="H63" s="276"/>
      <c r="I63" s="277">
        <f>'Costs to Run'!I11</f>
        <v>49539.634815230638</v>
      </c>
      <c r="J63" s="277">
        <f>'Costs to Run'!J11</f>
        <v>50813.004765020451</v>
      </c>
      <c r="K63" s="277">
        <f>'Costs to Run'!K11</f>
        <v>52165.766122833295</v>
      </c>
      <c r="L63" s="277">
        <f>'Costs to Run'!L11</f>
        <v>53462.165299179942</v>
      </c>
      <c r="M63" s="277">
        <f>'Costs to Run'!M11</f>
        <v>54831.323357992194</v>
      </c>
      <c r="N63" s="52"/>
      <c r="O63" s="52"/>
      <c r="P63" s="52"/>
      <c r="Q63" s="7"/>
      <c r="R63" s="7"/>
      <c r="S63" s="7"/>
      <c r="T63" s="7"/>
      <c r="U63" s="7"/>
      <c r="V63" s="7"/>
      <c r="W63" s="7"/>
      <c r="X63" s="7"/>
      <c r="Y63" s="7"/>
      <c r="Z63" s="7"/>
    </row>
    <row r="64" spans="1:26" ht="15.75" customHeight="1">
      <c r="A64" s="7"/>
      <c r="B64" s="275" t="s">
        <v>330</v>
      </c>
      <c r="C64" s="276"/>
      <c r="D64" s="276"/>
      <c r="E64" s="276"/>
      <c r="F64" s="276"/>
      <c r="G64" s="276"/>
      <c r="H64" s="276"/>
      <c r="I64" s="277">
        <f t="shared" ref="I64:M64" si="9">I62-I63</f>
        <v>0</v>
      </c>
      <c r="J64" s="277">
        <f t="shared" si="9"/>
        <v>0</v>
      </c>
      <c r="K64" s="277">
        <f t="shared" si="9"/>
        <v>0</v>
      </c>
      <c r="L64" s="277">
        <f t="shared" si="9"/>
        <v>0</v>
      </c>
      <c r="M64" s="277">
        <f t="shared" si="9"/>
        <v>0</v>
      </c>
      <c r="N64" s="52"/>
      <c r="O64" s="52"/>
      <c r="P64" s="52"/>
      <c r="Q64" s="7"/>
      <c r="R64" s="7"/>
      <c r="S64" s="7"/>
      <c r="T64" s="7"/>
      <c r="U64" s="7"/>
      <c r="V64" s="7"/>
      <c r="W64" s="7"/>
      <c r="X64" s="7"/>
      <c r="Y64" s="7"/>
      <c r="Z64" s="7"/>
    </row>
    <row r="65" spans="1:26" ht="15.75" customHeight="1">
      <c r="A65" s="7"/>
      <c r="B65" s="7"/>
      <c r="C65" s="29"/>
      <c r="D65" s="30"/>
      <c r="E65" s="30"/>
      <c r="F65" s="30"/>
      <c r="G65" s="30"/>
      <c r="H65" s="30"/>
      <c r="I65" s="7"/>
      <c r="J65" s="7"/>
      <c r="K65" s="7"/>
      <c r="L65" s="7"/>
      <c r="M65" s="7"/>
      <c r="N65" s="52"/>
      <c r="O65" s="52"/>
      <c r="P65" s="52"/>
      <c r="Q65" s="7"/>
      <c r="R65" s="7"/>
      <c r="S65" s="7"/>
      <c r="T65" s="7"/>
      <c r="U65" s="7"/>
      <c r="V65" s="7"/>
      <c r="W65" s="7"/>
      <c r="X65" s="7"/>
      <c r="Y65" s="7"/>
      <c r="Z65" s="7"/>
    </row>
    <row r="66" spans="1:26" ht="15.75" customHeight="1">
      <c r="A66" s="7"/>
      <c r="K66" s="7"/>
      <c r="L66" s="7"/>
      <c r="M66" s="7"/>
      <c r="N66" s="52"/>
      <c r="O66" s="52"/>
      <c r="P66" s="52"/>
      <c r="Q66" s="7"/>
      <c r="R66" s="7"/>
      <c r="S66" s="7"/>
      <c r="T66" s="7"/>
      <c r="U66" s="7"/>
      <c r="V66" s="7"/>
      <c r="W66" s="7"/>
      <c r="X66" s="7"/>
      <c r="Y66" s="7"/>
      <c r="Z66" s="7"/>
    </row>
    <row r="67" spans="1:26" ht="15.75" customHeight="1">
      <c r="A67" s="7"/>
      <c r="K67" s="7"/>
      <c r="L67" s="7"/>
      <c r="M67" s="7"/>
      <c r="N67" s="52"/>
      <c r="O67" s="52"/>
      <c r="P67" s="52"/>
      <c r="Q67" s="7"/>
      <c r="R67" s="7"/>
      <c r="S67" s="7"/>
      <c r="T67" s="7"/>
      <c r="U67" s="7"/>
      <c r="V67" s="7"/>
      <c r="W67" s="7"/>
      <c r="X67" s="7"/>
      <c r="Y67" s="7"/>
      <c r="Z67" s="7"/>
    </row>
    <row r="68" spans="1:26" ht="15.75" customHeight="1">
      <c r="A68" s="7"/>
      <c r="K68" s="7"/>
      <c r="L68" s="7"/>
      <c r="M68" s="7"/>
      <c r="N68" s="52"/>
      <c r="O68" s="52"/>
      <c r="P68" s="52"/>
      <c r="Q68" s="7"/>
      <c r="R68" s="7"/>
      <c r="S68" s="7"/>
      <c r="T68" s="7"/>
      <c r="U68" s="7"/>
      <c r="V68" s="7"/>
      <c r="W68" s="7"/>
      <c r="X68" s="7"/>
      <c r="Y68" s="7"/>
      <c r="Z68" s="7"/>
    </row>
    <row r="69" spans="1:26" ht="15.75" customHeight="1">
      <c r="A69" s="7"/>
      <c r="K69" s="7"/>
      <c r="L69" s="7"/>
      <c r="M69" s="7"/>
      <c r="N69" s="52"/>
      <c r="O69" s="52"/>
      <c r="P69" s="52"/>
      <c r="Q69" s="7"/>
      <c r="R69" s="7"/>
      <c r="S69" s="7"/>
      <c r="T69" s="7"/>
      <c r="U69" s="7"/>
      <c r="V69" s="7"/>
      <c r="W69" s="7"/>
      <c r="X69" s="7"/>
      <c r="Y69" s="7"/>
      <c r="Z69" s="7"/>
    </row>
    <row r="70" spans="1:26" ht="15.75" customHeight="1">
      <c r="A70" s="7"/>
      <c r="K70" s="7"/>
      <c r="L70" s="7"/>
      <c r="M70" s="7"/>
      <c r="N70" s="52"/>
      <c r="O70" s="52"/>
      <c r="P70" s="52"/>
      <c r="Q70" s="7"/>
      <c r="R70" s="7"/>
      <c r="S70" s="7"/>
      <c r="T70" s="7"/>
      <c r="U70" s="7"/>
      <c r="V70" s="7"/>
      <c r="W70" s="7"/>
      <c r="X70" s="7"/>
      <c r="Y70" s="7"/>
      <c r="Z70" s="7"/>
    </row>
    <row r="71" spans="1:26" ht="15.75" customHeight="1">
      <c r="A71" s="7"/>
      <c r="K71" s="7"/>
      <c r="L71" s="7"/>
      <c r="M71" s="7"/>
      <c r="N71" s="52"/>
      <c r="O71" s="52"/>
      <c r="P71" s="52"/>
      <c r="Q71" s="7"/>
      <c r="R71" s="7"/>
      <c r="S71" s="7"/>
      <c r="T71" s="7"/>
      <c r="U71" s="7"/>
      <c r="V71" s="7"/>
      <c r="W71" s="7"/>
      <c r="X71" s="7"/>
      <c r="Y71" s="7"/>
      <c r="Z71" s="7"/>
    </row>
    <row r="72" spans="1:26" ht="15.75" customHeight="1">
      <c r="A72" s="7"/>
      <c r="K72" s="7"/>
      <c r="L72" s="7"/>
      <c r="M72" s="7"/>
      <c r="N72" s="52"/>
      <c r="O72" s="52"/>
      <c r="P72" s="52"/>
      <c r="Q72" s="7"/>
      <c r="R72" s="7"/>
      <c r="S72" s="7"/>
      <c r="T72" s="7"/>
      <c r="U72" s="7"/>
      <c r="V72" s="7"/>
      <c r="W72" s="7"/>
      <c r="X72" s="7"/>
      <c r="Y72" s="7"/>
      <c r="Z72" s="7"/>
    </row>
    <row r="73" spans="1:26" ht="15.75" customHeight="1">
      <c r="A73" s="7"/>
      <c r="K73" s="7"/>
      <c r="L73" s="7"/>
      <c r="M73" s="7"/>
      <c r="N73" s="7"/>
      <c r="O73" s="7"/>
      <c r="P73" s="7"/>
      <c r="Q73" s="7"/>
      <c r="R73" s="7"/>
      <c r="S73" s="7"/>
      <c r="T73" s="7"/>
      <c r="U73" s="7"/>
      <c r="V73" s="7"/>
      <c r="W73" s="7"/>
      <c r="X73" s="7"/>
      <c r="Y73" s="7"/>
      <c r="Z73" s="7"/>
    </row>
    <row r="74" spans="1:26" ht="15.75" customHeight="1">
      <c r="A74" s="7"/>
      <c r="K74" s="7"/>
      <c r="L74" s="7"/>
      <c r="M74" s="7"/>
      <c r="N74" s="7"/>
      <c r="O74" s="7"/>
      <c r="P74" s="7"/>
      <c r="Q74" s="7"/>
      <c r="R74" s="7"/>
      <c r="S74" s="7"/>
      <c r="T74" s="7"/>
      <c r="U74" s="7"/>
      <c r="V74" s="7"/>
      <c r="W74" s="7"/>
      <c r="X74" s="7"/>
      <c r="Y74" s="7"/>
      <c r="Z74" s="7"/>
    </row>
    <row r="75" spans="1:26" ht="15.75" customHeight="1">
      <c r="A75" s="7"/>
      <c r="K75" s="7"/>
      <c r="L75" s="7"/>
      <c r="M75" s="7"/>
      <c r="N75" s="7"/>
      <c r="O75" s="7"/>
      <c r="P75" s="7"/>
      <c r="Q75" s="7"/>
      <c r="R75" s="7"/>
      <c r="S75" s="7"/>
      <c r="T75" s="7"/>
      <c r="U75" s="7"/>
      <c r="V75" s="7"/>
      <c r="W75" s="7"/>
      <c r="X75" s="7"/>
      <c r="Y75" s="7"/>
      <c r="Z75" s="7"/>
    </row>
    <row r="76" spans="1:26" ht="15.75" customHeight="1">
      <c r="A76" s="7"/>
      <c r="K76" s="7"/>
      <c r="L76" s="7"/>
      <c r="M76" s="7"/>
      <c r="N76" s="7"/>
      <c r="O76" s="7"/>
      <c r="P76" s="7"/>
      <c r="Q76" s="7"/>
      <c r="R76" s="7"/>
      <c r="S76" s="7"/>
      <c r="T76" s="7"/>
      <c r="U76" s="7"/>
      <c r="V76" s="7"/>
      <c r="W76" s="7"/>
      <c r="X76" s="7"/>
      <c r="Y76" s="7"/>
      <c r="Z76" s="7"/>
    </row>
    <row r="77" spans="1:26" ht="15.75" customHeight="1">
      <c r="A77" s="7"/>
      <c r="K77" s="7"/>
      <c r="L77" s="7"/>
      <c r="M77" s="7"/>
      <c r="N77" s="7"/>
      <c r="O77" s="7"/>
      <c r="P77" s="7"/>
      <c r="Q77" s="7"/>
      <c r="R77" s="7"/>
      <c r="S77" s="7"/>
      <c r="T77" s="7"/>
      <c r="U77" s="7"/>
      <c r="V77" s="7"/>
      <c r="W77" s="7"/>
      <c r="X77" s="7"/>
      <c r="Y77" s="7"/>
      <c r="Z77" s="7"/>
    </row>
    <row r="78" spans="1:26" ht="15.75" customHeight="1">
      <c r="A78" s="7"/>
      <c r="B78" s="207"/>
      <c r="C78" s="207"/>
      <c r="D78" s="207"/>
      <c r="E78" s="207"/>
      <c r="F78" s="207"/>
      <c r="G78" s="207"/>
      <c r="H78" s="207"/>
      <c r="I78" s="207"/>
      <c r="J78" s="207"/>
      <c r="K78" s="7"/>
      <c r="L78" s="7"/>
      <c r="M78" s="7"/>
      <c r="N78" s="7"/>
      <c r="O78" s="7"/>
      <c r="P78" s="7"/>
      <c r="Q78" s="7"/>
      <c r="R78" s="7"/>
      <c r="S78" s="7"/>
      <c r="T78" s="7"/>
      <c r="U78" s="7"/>
      <c r="V78" s="7"/>
      <c r="W78" s="7"/>
      <c r="X78" s="7"/>
      <c r="Y78" s="7"/>
      <c r="Z78" s="7"/>
    </row>
    <row r="79" spans="1:26" ht="15.75" customHeight="1">
      <c r="A79" s="7"/>
      <c r="B79" s="207"/>
      <c r="C79" s="207"/>
      <c r="D79" s="207"/>
      <c r="E79" s="207"/>
      <c r="F79" s="207"/>
      <c r="G79" s="207"/>
      <c r="H79" s="207"/>
      <c r="I79" s="207"/>
      <c r="J79" s="207"/>
      <c r="K79" s="7"/>
      <c r="L79" s="7"/>
      <c r="M79" s="7"/>
      <c r="N79" s="7"/>
      <c r="O79" s="7"/>
      <c r="P79" s="7"/>
      <c r="Q79" s="7"/>
      <c r="R79" s="7"/>
      <c r="S79" s="7"/>
      <c r="T79" s="7"/>
      <c r="U79" s="7"/>
      <c r="V79" s="7"/>
      <c r="W79" s="7"/>
      <c r="X79" s="7"/>
      <c r="Y79" s="7"/>
      <c r="Z79" s="7"/>
    </row>
    <row r="80" spans="1:26" ht="15.75" customHeight="1">
      <c r="A80" s="7"/>
      <c r="B80" s="7"/>
      <c r="C80" s="29"/>
      <c r="D80" s="30"/>
      <c r="E80" s="30"/>
      <c r="F80" s="30"/>
      <c r="G80" s="30"/>
      <c r="H80" s="30"/>
      <c r="I80" s="7"/>
      <c r="J80" s="7"/>
      <c r="K80" s="7"/>
      <c r="L80" s="7"/>
      <c r="M80" s="7"/>
      <c r="N80" s="7"/>
      <c r="O80" s="7"/>
      <c r="P80" s="7"/>
      <c r="Q80" s="7"/>
      <c r="R80" s="7"/>
      <c r="S80" s="7"/>
      <c r="T80" s="7"/>
      <c r="U80" s="7"/>
      <c r="V80" s="7"/>
      <c r="W80" s="7"/>
      <c r="X80" s="7"/>
      <c r="Y80" s="7"/>
      <c r="Z80" s="7"/>
    </row>
    <row r="81" spans="1:26" ht="15.75" customHeight="1">
      <c r="A81" s="7"/>
      <c r="B81" s="7"/>
      <c r="C81" s="29"/>
      <c r="D81" s="30"/>
      <c r="E81" s="30"/>
      <c r="F81" s="30"/>
      <c r="G81" s="30"/>
      <c r="H81" s="30"/>
      <c r="I81" s="7"/>
      <c r="J81" s="7"/>
      <c r="K81" s="7"/>
      <c r="L81" s="7"/>
      <c r="M81" s="7"/>
      <c r="N81" s="7"/>
      <c r="O81" s="7"/>
      <c r="P81" s="7"/>
      <c r="Q81" s="7"/>
      <c r="R81" s="7"/>
      <c r="S81" s="7"/>
      <c r="T81" s="7"/>
      <c r="U81" s="7"/>
      <c r="V81" s="7"/>
      <c r="W81" s="7"/>
      <c r="X81" s="7"/>
      <c r="Y81" s="7"/>
      <c r="Z81" s="7"/>
    </row>
    <row r="82" spans="1:26" ht="15.75" customHeight="1">
      <c r="A82" s="7"/>
      <c r="B82" s="7"/>
      <c r="C82" s="29"/>
      <c r="D82" s="30"/>
      <c r="E82" s="30"/>
      <c r="F82" s="30"/>
      <c r="G82" s="30"/>
      <c r="H82" s="30"/>
      <c r="I82" s="7"/>
      <c r="J82" s="7"/>
      <c r="K82" s="7"/>
      <c r="L82" s="7"/>
      <c r="M82" s="7"/>
      <c r="N82" s="7"/>
      <c r="O82" s="7"/>
      <c r="P82" s="7"/>
      <c r="Q82" s="7"/>
      <c r="R82" s="7"/>
      <c r="S82" s="7"/>
      <c r="T82" s="7"/>
      <c r="U82" s="7"/>
      <c r="V82" s="7"/>
      <c r="W82" s="7"/>
      <c r="X82" s="7"/>
      <c r="Y82" s="7"/>
      <c r="Z82" s="7"/>
    </row>
    <row r="83" spans="1:26" ht="15.75" customHeight="1">
      <c r="A83" s="7"/>
      <c r="B83" s="7"/>
      <c r="C83" s="29"/>
      <c r="D83" s="30"/>
      <c r="E83" s="30"/>
      <c r="F83" s="30"/>
      <c r="G83" s="30"/>
      <c r="H83" s="30"/>
      <c r="I83" s="7"/>
      <c r="J83" s="7"/>
      <c r="K83" s="7"/>
      <c r="L83" s="7"/>
      <c r="M83" s="7"/>
      <c r="N83" s="7"/>
      <c r="O83" s="7"/>
      <c r="P83" s="7"/>
      <c r="Q83" s="7"/>
      <c r="R83" s="7"/>
      <c r="S83" s="7"/>
      <c r="T83" s="7"/>
      <c r="U83" s="7"/>
      <c r="V83" s="7"/>
      <c r="W83" s="7"/>
      <c r="X83" s="7"/>
      <c r="Y83" s="7"/>
      <c r="Z83" s="7"/>
    </row>
    <row r="84" spans="1:26" ht="15.75" customHeight="1">
      <c r="A84" s="7"/>
      <c r="B84" s="7"/>
      <c r="C84" s="29"/>
      <c r="D84" s="30"/>
      <c r="E84" s="30"/>
      <c r="F84" s="30"/>
      <c r="G84" s="30"/>
      <c r="H84" s="30"/>
      <c r="I84" s="7"/>
      <c r="J84" s="7"/>
      <c r="K84" s="7"/>
      <c r="L84" s="7"/>
      <c r="M84" s="7"/>
      <c r="N84" s="7"/>
      <c r="O84" s="7"/>
      <c r="P84" s="7"/>
      <c r="Q84" s="7"/>
      <c r="R84" s="7"/>
      <c r="S84" s="7"/>
      <c r="T84" s="7"/>
      <c r="U84" s="7"/>
      <c r="V84" s="7"/>
      <c r="W84" s="7"/>
      <c r="X84" s="7"/>
      <c r="Y84" s="7"/>
      <c r="Z84" s="7"/>
    </row>
    <row r="85" spans="1:26" ht="15.75" customHeight="1">
      <c r="A85" s="7"/>
      <c r="B85" s="7"/>
      <c r="C85" s="29"/>
      <c r="D85" s="30"/>
      <c r="E85" s="30"/>
      <c r="F85" s="30"/>
      <c r="G85" s="30"/>
      <c r="H85" s="30"/>
      <c r="I85" s="7"/>
      <c r="J85" s="7"/>
      <c r="K85" s="7"/>
      <c r="L85" s="7"/>
      <c r="M85" s="7"/>
      <c r="N85" s="7"/>
      <c r="O85" s="7"/>
      <c r="P85" s="7"/>
      <c r="Q85" s="7"/>
      <c r="R85" s="7"/>
      <c r="S85" s="7"/>
      <c r="T85" s="7"/>
      <c r="U85" s="7"/>
      <c r="V85" s="7"/>
      <c r="W85" s="7"/>
      <c r="X85" s="7"/>
      <c r="Y85" s="7"/>
      <c r="Z85" s="7"/>
    </row>
    <row r="86" spans="1:26" ht="15.75" customHeight="1">
      <c r="A86" s="7"/>
      <c r="B86" s="7"/>
      <c r="C86" s="29"/>
      <c r="D86" s="30"/>
      <c r="E86" s="30"/>
      <c r="F86" s="30"/>
      <c r="G86" s="30"/>
      <c r="H86" s="30"/>
      <c r="I86" s="7"/>
      <c r="J86" s="7"/>
      <c r="K86" s="7"/>
      <c r="L86" s="7"/>
      <c r="M86" s="7"/>
      <c r="N86" s="7"/>
      <c r="O86" s="7"/>
      <c r="P86" s="7"/>
      <c r="Q86" s="7"/>
      <c r="R86" s="7"/>
      <c r="S86" s="7"/>
      <c r="T86" s="7"/>
      <c r="U86" s="7"/>
      <c r="V86" s="7"/>
      <c r="W86" s="7"/>
      <c r="X86" s="7"/>
      <c r="Y86" s="7"/>
      <c r="Z86" s="7"/>
    </row>
    <row r="87" spans="1:26" ht="15.75" customHeight="1">
      <c r="A87" s="7"/>
      <c r="B87" s="7"/>
      <c r="C87" s="29"/>
      <c r="D87" s="30"/>
      <c r="E87" s="30"/>
      <c r="F87" s="30"/>
      <c r="G87" s="30"/>
      <c r="H87" s="30"/>
      <c r="I87" s="7"/>
      <c r="J87" s="7"/>
      <c r="K87" s="7"/>
      <c r="L87" s="7"/>
      <c r="M87" s="7"/>
      <c r="N87" s="7"/>
      <c r="O87" s="7"/>
      <c r="P87" s="7"/>
      <c r="Q87" s="7"/>
      <c r="R87" s="7"/>
      <c r="S87" s="7"/>
      <c r="T87" s="7"/>
      <c r="U87" s="7"/>
      <c r="V87" s="7"/>
      <c r="W87" s="7"/>
      <c r="X87" s="7"/>
      <c r="Y87" s="7"/>
      <c r="Z87" s="7"/>
    </row>
    <row r="88" spans="1:26" ht="15.75" customHeight="1">
      <c r="A88" s="7"/>
      <c r="B88" s="7"/>
      <c r="C88" s="29"/>
      <c r="D88" s="30"/>
      <c r="E88" s="30"/>
      <c r="F88" s="30"/>
      <c r="G88" s="30"/>
      <c r="H88" s="30"/>
      <c r="I88" s="7"/>
      <c r="J88" s="7"/>
      <c r="K88" s="7"/>
      <c r="L88" s="7"/>
      <c r="M88" s="7"/>
      <c r="N88" s="7"/>
      <c r="O88" s="7"/>
      <c r="P88" s="7"/>
      <c r="Q88" s="7"/>
      <c r="R88" s="7"/>
      <c r="S88" s="7"/>
      <c r="T88" s="7"/>
      <c r="U88" s="7"/>
      <c r="V88" s="7"/>
      <c r="W88" s="7"/>
      <c r="X88" s="7"/>
      <c r="Y88" s="7"/>
      <c r="Z88" s="7"/>
    </row>
    <row r="89" spans="1:26" ht="15.75" customHeight="1">
      <c r="A89" s="7"/>
      <c r="B89" s="7"/>
      <c r="C89" s="29"/>
      <c r="D89" s="30"/>
      <c r="E89" s="30"/>
      <c r="F89" s="30"/>
      <c r="G89" s="30"/>
      <c r="H89" s="30"/>
      <c r="I89" s="7"/>
      <c r="J89" s="7"/>
      <c r="K89" s="7"/>
      <c r="L89" s="7"/>
      <c r="M89" s="7"/>
      <c r="N89" s="7"/>
      <c r="O89" s="7"/>
      <c r="P89" s="7"/>
      <c r="Q89" s="7"/>
      <c r="R89" s="7"/>
      <c r="S89" s="7"/>
      <c r="T89" s="7"/>
      <c r="U89" s="7"/>
      <c r="V89" s="7"/>
      <c r="W89" s="7"/>
      <c r="X89" s="7"/>
      <c r="Y89" s="7"/>
      <c r="Z89" s="7"/>
    </row>
    <row r="90" spans="1:26" ht="15.75" customHeight="1">
      <c r="A90" s="7"/>
      <c r="B90" s="7"/>
      <c r="C90" s="29"/>
      <c r="D90" s="30"/>
      <c r="E90" s="30"/>
      <c r="F90" s="30"/>
      <c r="G90" s="30"/>
      <c r="H90" s="30"/>
      <c r="I90" s="7"/>
      <c r="J90" s="7"/>
      <c r="K90" s="7"/>
      <c r="L90" s="7"/>
      <c r="M90" s="7"/>
      <c r="N90" s="7"/>
      <c r="O90" s="7"/>
      <c r="P90" s="7"/>
      <c r="Q90" s="7"/>
      <c r="R90" s="7"/>
      <c r="S90" s="7"/>
      <c r="T90" s="7"/>
      <c r="U90" s="7"/>
      <c r="V90" s="7"/>
      <c r="W90" s="7"/>
      <c r="X90" s="7"/>
      <c r="Y90" s="7"/>
      <c r="Z90" s="7"/>
    </row>
    <row r="91" spans="1:26" ht="15.75" customHeight="1">
      <c r="A91" s="7"/>
      <c r="B91" s="7"/>
      <c r="C91" s="29"/>
      <c r="D91" s="30"/>
      <c r="E91" s="30"/>
      <c r="F91" s="30"/>
      <c r="G91" s="30"/>
      <c r="H91" s="30"/>
      <c r="I91" s="7"/>
      <c r="J91" s="7"/>
      <c r="K91" s="7"/>
      <c r="L91" s="7"/>
      <c r="M91" s="7"/>
      <c r="N91" s="7"/>
      <c r="O91" s="7"/>
      <c r="P91" s="7"/>
      <c r="Q91" s="7"/>
      <c r="R91" s="7"/>
      <c r="S91" s="7"/>
      <c r="T91" s="7"/>
      <c r="U91" s="7"/>
      <c r="V91" s="7"/>
      <c r="W91" s="7"/>
      <c r="X91" s="7"/>
      <c r="Y91" s="7"/>
      <c r="Z91" s="7"/>
    </row>
    <row r="92" spans="1:26" ht="15.75" customHeight="1">
      <c r="A92" s="7"/>
      <c r="B92" s="7"/>
      <c r="C92" s="29"/>
      <c r="D92" s="30"/>
      <c r="E92" s="30"/>
      <c r="F92" s="30"/>
      <c r="G92" s="30"/>
      <c r="H92" s="30"/>
      <c r="I92" s="7"/>
      <c r="J92" s="7"/>
      <c r="K92" s="7"/>
      <c r="L92" s="7"/>
      <c r="M92" s="7"/>
      <c r="N92" s="7"/>
      <c r="O92" s="7"/>
      <c r="P92" s="7"/>
      <c r="Q92" s="7"/>
      <c r="R92" s="7"/>
      <c r="S92" s="7"/>
      <c r="T92" s="7"/>
      <c r="U92" s="7"/>
      <c r="V92" s="7"/>
      <c r="W92" s="7"/>
      <c r="X92" s="7"/>
      <c r="Y92" s="7"/>
      <c r="Z92" s="7"/>
    </row>
    <row r="93" spans="1:26" ht="15.75" customHeight="1">
      <c r="A93" s="7"/>
      <c r="B93" s="7"/>
      <c r="C93" s="29"/>
      <c r="D93" s="30"/>
      <c r="E93" s="30"/>
      <c r="F93" s="30"/>
      <c r="G93" s="30"/>
      <c r="H93" s="30"/>
      <c r="I93" s="7"/>
      <c r="J93" s="7"/>
      <c r="K93" s="7"/>
      <c r="L93" s="7"/>
      <c r="M93" s="7"/>
      <c r="N93" s="7"/>
      <c r="O93" s="7"/>
      <c r="P93" s="7"/>
      <c r="Q93" s="7"/>
      <c r="R93" s="7"/>
      <c r="S93" s="7"/>
      <c r="T93" s="7"/>
      <c r="U93" s="7"/>
      <c r="V93" s="7"/>
      <c r="W93" s="7"/>
      <c r="X93" s="7"/>
      <c r="Y93" s="7"/>
      <c r="Z93" s="7"/>
    </row>
    <row r="94" spans="1:26" ht="15.75" customHeight="1">
      <c r="A94" s="7"/>
      <c r="B94" s="7"/>
      <c r="C94" s="29"/>
      <c r="D94" s="30"/>
      <c r="E94" s="30"/>
      <c r="F94" s="30"/>
      <c r="G94" s="30"/>
      <c r="H94" s="30"/>
      <c r="I94" s="7"/>
      <c r="J94" s="7"/>
      <c r="K94" s="7"/>
      <c r="L94" s="7"/>
      <c r="M94" s="7"/>
      <c r="N94" s="7"/>
      <c r="O94" s="7"/>
      <c r="P94" s="7"/>
      <c r="Q94" s="7"/>
      <c r="R94" s="7"/>
      <c r="S94" s="7"/>
      <c r="T94" s="7"/>
      <c r="U94" s="7"/>
      <c r="V94" s="7"/>
      <c r="W94" s="7"/>
      <c r="X94" s="7"/>
      <c r="Y94" s="7"/>
      <c r="Z94" s="7"/>
    </row>
    <row r="95" spans="1:26" ht="15.75" customHeight="1">
      <c r="A95" s="7"/>
      <c r="B95" s="7"/>
      <c r="C95" s="29"/>
      <c r="D95" s="30"/>
      <c r="E95" s="30"/>
      <c r="F95" s="30"/>
      <c r="G95" s="30"/>
      <c r="H95" s="30"/>
      <c r="I95" s="7"/>
      <c r="J95" s="7"/>
      <c r="K95" s="7"/>
      <c r="L95" s="7"/>
      <c r="M95" s="7"/>
      <c r="N95" s="7"/>
      <c r="O95" s="7"/>
      <c r="P95" s="7"/>
      <c r="Q95" s="7"/>
      <c r="R95" s="7"/>
      <c r="S95" s="7"/>
      <c r="T95" s="7"/>
      <c r="U95" s="7"/>
      <c r="V95" s="7"/>
      <c r="W95" s="7"/>
      <c r="X95" s="7"/>
      <c r="Y95" s="7"/>
      <c r="Z95" s="7"/>
    </row>
    <row r="96" spans="1:26" ht="15.75" customHeight="1">
      <c r="A96" s="7"/>
      <c r="B96" s="7"/>
      <c r="C96" s="29"/>
      <c r="D96" s="30"/>
      <c r="E96" s="30"/>
      <c r="F96" s="30"/>
      <c r="G96" s="30"/>
      <c r="H96" s="30"/>
      <c r="I96" s="7"/>
      <c r="J96" s="7"/>
      <c r="K96" s="7"/>
      <c r="L96" s="7"/>
      <c r="M96" s="7"/>
      <c r="N96" s="7"/>
      <c r="O96" s="7"/>
      <c r="P96" s="7"/>
      <c r="Q96" s="7"/>
      <c r="R96" s="7"/>
      <c r="S96" s="7"/>
      <c r="T96" s="7"/>
      <c r="U96" s="7"/>
      <c r="V96" s="7"/>
      <c r="W96" s="7"/>
      <c r="X96" s="7"/>
      <c r="Y96" s="7"/>
      <c r="Z96" s="7"/>
    </row>
    <row r="97" spans="1:26" ht="15.75" customHeight="1">
      <c r="A97" s="7"/>
      <c r="B97" s="7"/>
      <c r="C97" s="29"/>
      <c r="D97" s="30"/>
      <c r="E97" s="30"/>
      <c r="F97" s="30"/>
      <c r="G97" s="30"/>
      <c r="H97" s="30"/>
      <c r="I97" s="7"/>
      <c r="J97" s="7"/>
      <c r="K97" s="7"/>
      <c r="L97" s="7"/>
      <c r="M97" s="7"/>
      <c r="N97" s="7"/>
      <c r="O97" s="7"/>
      <c r="P97" s="7"/>
      <c r="Q97" s="7"/>
      <c r="R97" s="7"/>
      <c r="S97" s="7"/>
      <c r="T97" s="7"/>
      <c r="U97" s="7"/>
      <c r="V97" s="7"/>
      <c r="W97" s="7"/>
      <c r="X97" s="7"/>
      <c r="Y97" s="7"/>
      <c r="Z97" s="7"/>
    </row>
    <row r="98" spans="1:26" ht="15.75" customHeight="1">
      <c r="A98" s="7"/>
      <c r="B98" s="7"/>
      <c r="C98" s="29"/>
      <c r="D98" s="30"/>
      <c r="E98" s="30"/>
      <c r="F98" s="30"/>
      <c r="G98" s="30"/>
      <c r="H98" s="30"/>
      <c r="I98" s="7"/>
      <c r="J98" s="7"/>
      <c r="K98" s="7"/>
      <c r="L98" s="7"/>
      <c r="M98" s="7"/>
      <c r="N98" s="7"/>
      <c r="O98" s="7"/>
      <c r="P98" s="7"/>
      <c r="Q98" s="7"/>
      <c r="R98" s="7"/>
      <c r="S98" s="7"/>
      <c r="T98" s="7"/>
      <c r="U98" s="7"/>
      <c r="V98" s="7"/>
      <c r="W98" s="7"/>
      <c r="X98" s="7"/>
      <c r="Y98" s="7"/>
      <c r="Z98" s="7"/>
    </row>
    <row r="99" spans="1:26" ht="15.75" customHeight="1">
      <c r="A99" s="7"/>
      <c r="B99" s="7"/>
      <c r="C99" s="29"/>
      <c r="D99" s="30"/>
      <c r="E99" s="30"/>
      <c r="F99" s="30"/>
      <c r="G99" s="30"/>
      <c r="H99" s="30"/>
      <c r="I99" s="7"/>
      <c r="J99" s="7"/>
      <c r="K99" s="7"/>
      <c r="L99" s="7"/>
      <c r="M99" s="7"/>
      <c r="N99" s="7"/>
      <c r="O99" s="7"/>
      <c r="P99" s="7"/>
      <c r="Q99" s="7"/>
      <c r="R99" s="7"/>
      <c r="S99" s="7"/>
      <c r="T99" s="7"/>
      <c r="U99" s="7"/>
      <c r="V99" s="7"/>
      <c r="W99" s="7"/>
      <c r="X99" s="7"/>
      <c r="Y99" s="7"/>
      <c r="Z99" s="7"/>
    </row>
    <row r="100" spans="1:26" ht="15.75" customHeight="1">
      <c r="A100" s="7"/>
      <c r="B100" s="7"/>
      <c r="C100" s="29"/>
      <c r="D100" s="30"/>
      <c r="E100" s="30"/>
      <c r="F100" s="30"/>
      <c r="G100" s="30"/>
      <c r="H100" s="30"/>
      <c r="I100" s="7"/>
      <c r="J100" s="7"/>
      <c r="K100" s="7"/>
      <c r="L100" s="7"/>
      <c r="M100" s="7"/>
      <c r="N100" s="7"/>
      <c r="O100" s="7"/>
      <c r="P100" s="7"/>
      <c r="Q100" s="7"/>
      <c r="R100" s="7"/>
      <c r="S100" s="7"/>
      <c r="T100" s="7"/>
      <c r="U100" s="7"/>
      <c r="V100" s="7"/>
      <c r="W100" s="7"/>
      <c r="X100" s="7"/>
      <c r="Y100" s="7"/>
      <c r="Z100" s="7"/>
    </row>
    <row r="101" spans="1:26" ht="15.75" customHeight="1">
      <c r="A101" s="7"/>
      <c r="B101" s="7"/>
      <c r="C101" s="29"/>
      <c r="D101" s="30"/>
      <c r="E101" s="30"/>
      <c r="F101" s="30"/>
      <c r="G101" s="30"/>
      <c r="H101" s="30"/>
      <c r="I101" s="7"/>
      <c r="J101" s="7"/>
      <c r="K101" s="7"/>
      <c r="L101" s="7"/>
      <c r="M101" s="7"/>
      <c r="N101" s="7"/>
      <c r="O101" s="7"/>
      <c r="P101" s="7"/>
      <c r="Q101" s="7"/>
      <c r="R101" s="7"/>
      <c r="S101" s="7"/>
      <c r="T101" s="7"/>
      <c r="U101" s="7"/>
      <c r="V101" s="7"/>
      <c r="W101" s="7"/>
      <c r="X101" s="7"/>
      <c r="Y101" s="7"/>
      <c r="Z101" s="7"/>
    </row>
    <row r="102" spans="1:26" ht="15.75" customHeight="1">
      <c r="A102" s="7"/>
      <c r="B102" s="7"/>
      <c r="C102" s="29"/>
      <c r="D102" s="30"/>
      <c r="E102" s="30"/>
      <c r="F102" s="30"/>
      <c r="G102" s="30"/>
      <c r="H102" s="30"/>
      <c r="I102" s="7"/>
      <c r="J102" s="7"/>
      <c r="K102" s="7"/>
      <c r="L102" s="7"/>
      <c r="M102" s="7"/>
      <c r="N102" s="7"/>
      <c r="O102" s="7"/>
      <c r="P102" s="7"/>
      <c r="Q102" s="7"/>
      <c r="R102" s="7"/>
      <c r="S102" s="7"/>
      <c r="T102" s="7"/>
      <c r="U102" s="7"/>
      <c r="V102" s="7"/>
      <c r="W102" s="7"/>
      <c r="X102" s="7"/>
      <c r="Y102" s="7"/>
      <c r="Z102" s="7"/>
    </row>
    <row r="103" spans="1:26" ht="15.75" customHeight="1">
      <c r="A103" s="7"/>
      <c r="B103" s="7"/>
      <c r="C103" s="29"/>
      <c r="D103" s="30"/>
      <c r="E103" s="30"/>
      <c r="F103" s="30"/>
      <c r="G103" s="30"/>
      <c r="H103" s="30"/>
      <c r="I103" s="7"/>
      <c r="J103" s="7"/>
      <c r="K103" s="7"/>
      <c r="L103" s="7"/>
      <c r="M103" s="7"/>
      <c r="N103" s="7"/>
      <c r="O103" s="7"/>
      <c r="P103" s="7"/>
      <c r="Q103" s="7"/>
      <c r="R103" s="7"/>
      <c r="S103" s="7"/>
      <c r="T103" s="7"/>
      <c r="U103" s="7"/>
      <c r="V103" s="7"/>
      <c r="W103" s="7"/>
      <c r="X103" s="7"/>
      <c r="Y103" s="7"/>
      <c r="Z103" s="7"/>
    </row>
    <row r="104" spans="1:26" ht="15.75" customHeight="1">
      <c r="A104" s="7"/>
      <c r="B104" s="7"/>
      <c r="C104" s="29"/>
      <c r="D104" s="30"/>
      <c r="E104" s="30"/>
      <c r="F104" s="30"/>
      <c r="G104" s="30"/>
      <c r="H104" s="30"/>
      <c r="I104" s="7"/>
      <c r="J104" s="7"/>
      <c r="K104" s="7"/>
      <c r="L104" s="7"/>
      <c r="M104" s="7"/>
      <c r="N104" s="7"/>
      <c r="O104" s="7"/>
      <c r="P104" s="7"/>
      <c r="Q104" s="7"/>
      <c r="R104" s="7"/>
      <c r="S104" s="7"/>
      <c r="T104" s="7"/>
      <c r="U104" s="7"/>
      <c r="V104" s="7"/>
      <c r="W104" s="7"/>
      <c r="X104" s="7"/>
      <c r="Y104" s="7"/>
      <c r="Z104" s="7"/>
    </row>
    <row r="105" spans="1:26" ht="15.75" customHeight="1">
      <c r="A105" s="7"/>
      <c r="B105" s="7"/>
      <c r="C105" s="29"/>
      <c r="D105" s="30"/>
      <c r="E105" s="30"/>
      <c r="F105" s="30"/>
      <c r="G105" s="30"/>
      <c r="H105" s="30"/>
      <c r="I105" s="7"/>
      <c r="J105" s="7"/>
      <c r="K105" s="7"/>
      <c r="L105" s="7"/>
      <c r="M105" s="7"/>
      <c r="N105" s="7"/>
      <c r="O105" s="7"/>
      <c r="P105" s="7"/>
      <c r="Q105" s="7"/>
      <c r="R105" s="7"/>
      <c r="S105" s="7"/>
      <c r="T105" s="7"/>
      <c r="U105" s="7"/>
      <c r="V105" s="7"/>
      <c r="W105" s="7"/>
      <c r="X105" s="7"/>
      <c r="Y105" s="7"/>
      <c r="Z105" s="7"/>
    </row>
    <row r="106" spans="1:26" ht="15.75" customHeight="1">
      <c r="A106" s="7"/>
      <c r="B106" s="7"/>
      <c r="C106" s="29"/>
      <c r="D106" s="30"/>
      <c r="E106" s="30"/>
      <c r="F106" s="30"/>
      <c r="G106" s="30"/>
      <c r="H106" s="30"/>
      <c r="I106" s="7"/>
      <c r="J106" s="7"/>
      <c r="K106" s="7"/>
      <c r="L106" s="7"/>
      <c r="M106" s="7"/>
      <c r="N106" s="7"/>
      <c r="O106" s="7"/>
      <c r="P106" s="7"/>
      <c r="Q106" s="7"/>
      <c r="R106" s="7"/>
      <c r="S106" s="7"/>
      <c r="T106" s="7"/>
      <c r="U106" s="7"/>
      <c r="V106" s="7"/>
      <c r="W106" s="7"/>
      <c r="X106" s="7"/>
      <c r="Y106" s="7"/>
      <c r="Z106" s="7"/>
    </row>
    <row r="107" spans="1:26" ht="15.75" customHeight="1">
      <c r="A107" s="7"/>
      <c r="B107" s="7"/>
      <c r="C107" s="29"/>
      <c r="D107" s="30"/>
      <c r="E107" s="30"/>
      <c r="F107" s="30"/>
      <c r="G107" s="30"/>
      <c r="H107" s="30"/>
      <c r="I107" s="7"/>
      <c r="J107" s="7"/>
      <c r="K107" s="7"/>
      <c r="L107" s="7"/>
      <c r="M107" s="7"/>
      <c r="N107" s="7"/>
      <c r="O107" s="7"/>
      <c r="P107" s="7"/>
      <c r="Q107" s="7"/>
      <c r="R107" s="7"/>
      <c r="S107" s="7"/>
      <c r="T107" s="7"/>
      <c r="U107" s="7"/>
      <c r="V107" s="7"/>
      <c r="W107" s="7"/>
      <c r="X107" s="7"/>
      <c r="Y107" s="7"/>
      <c r="Z107" s="7"/>
    </row>
    <row r="108" spans="1:26" ht="15.75" customHeight="1">
      <c r="A108" s="7"/>
      <c r="B108" s="7"/>
      <c r="C108" s="29"/>
      <c r="D108" s="30"/>
      <c r="E108" s="30"/>
      <c r="F108" s="30"/>
      <c r="G108" s="30"/>
      <c r="H108" s="30"/>
      <c r="I108" s="7"/>
      <c r="J108" s="7"/>
      <c r="K108" s="7"/>
      <c r="L108" s="7"/>
      <c r="M108" s="7"/>
      <c r="N108" s="7"/>
      <c r="O108" s="7"/>
      <c r="P108" s="7"/>
      <c r="Q108" s="7"/>
      <c r="R108" s="7"/>
      <c r="S108" s="7"/>
      <c r="T108" s="7"/>
      <c r="U108" s="7"/>
      <c r="V108" s="7"/>
      <c r="W108" s="7"/>
      <c r="X108" s="7"/>
      <c r="Y108" s="7"/>
      <c r="Z108" s="7"/>
    </row>
    <row r="109" spans="1:26" ht="15.75" customHeight="1">
      <c r="A109" s="7"/>
      <c r="B109" s="7"/>
      <c r="C109" s="29"/>
      <c r="D109" s="30"/>
      <c r="E109" s="30"/>
      <c r="F109" s="30"/>
      <c r="G109" s="30"/>
      <c r="H109" s="30"/>
      <c r="I109" s="7"/>
      <c r="J109" s="7"/>
      <c r="K109" s="7"/>
      <c r="L109" s="7"/>
      <c r="M109" s="7"/>
      <c r="N109" s="7"/>
      <c r="O109" s="7"/>
      <c r="P109" s="7"/>
      <c r="Q109" s="7"/>
      <c r="R109" s="7"/>
      <c r="S109" s="7"/>
      <c r="T109" s="7"/>
      <c r="U109" s="7"/>
      <c r="V109" s="7"/>
      <c r="W109" s="7"/>
      <c r="X109" s="7"/>
      <c r="Y109" s="7"/>
      <c r="Z109" s="7"/>
    </row>
    <row r="110" spans="1:26" ht="15.75" customHeight="1">
      <c r="A110" s="7"/>
      <c r="B110" s="7"/>
      <c r="C110" s="29"/>
      <c r="D110" s="30"/>
      <c r="E110" s="30"/>
      <c r="F110" s="30"/>
      <c r="G110" s="30"/>
      <c r="H110" s="30"/>
      <c r="I110" s="7"/>
      <c r="J110" s="7"/>
      <c r="K110" s="7"/>
      <c r="L110" s="7"/>
      <c r="M110" s="7"/>
      <c r="N110" s="7"/>
      <c r="O110" s="7"/>
      <c r="P110" s="7"/>
      <c r="Q110" s="7"/>
      <c r="R110" s="7"/>
      <c r="S110" s="7"/>
      <c r="T110" s="7"/>
      <c r="U110" s="7"/>
      <c r="V110" s="7"/>
      <c r="W110" s="7"/>
      <c r="X110" s="7"/>
      <c r="Y110" s="7"/>
      <c r="Z110" s="7"/>
    </row>
    <row r="111" spans="1:26" ht="15.75" customHeight="1">
      <c r="A111" s="7"/>
      <c r="B111" s="7"/>
      <c r="C111" s="29"/>
      <c r="D111" s="30"/>
      <c r="E111" s="30"/>
      <c r="F111" s="30"/>
      <c r="G111" s="30"/>
      <c r="H111" s="30"/>
      <c r="I111" s="7"/>
      <c r="J111" s="7"/>
      <c r="K111" s="7"/>
      <c r="L111" s="7"/>
      <c r="M111" s="7"/>
      <c r="N111" s="7"/>
      <c r="O111" s="7"/>
      <c r="P111" s="7"/>
      <c r="Q111" s="7"/>
      <c r="R111" s="7"/>
      <c r="S111" s="7"/>
      <c r="T111" s="7"/>
      <c r="U111" s="7"/>
      <c r="V111" s="7"/>
      <c r="W111" s="7"/>
      <c r="X111" s="7"/>
      <c r="Y111" s="7"/>
      <c r="Z111" s="7"/>
    </row>
    <row r="112" spans="1:26" ht="15.75" customHeight="1">
      <c r="A112" s="7"/>
      <c r="B112" s="7"/>
      <c r="C112" s="29"/>
      <c r="D112" s="30"/>
      <c r="E112" s="30"/>
      <c r="F112" s="30"/>
      <c r="G112" s="30"/>
      <c r="H112" s="30"/>
      <c r="I112" s="7"/>
      <c r="J112" s="7"/>
      <c r="K112" s="7"/>
      <c r="L112" s="7"/>
      <c r="M112" s="7"/>
      <c r="N112" s="7"/>
      <c r="O112" s="7"/>
      <c r="P112" s="7"/>
      <c r="Q112" s="7"/>
      <c r="R112" s="7"/>
      <c r="S112" s="7"/>
      <c r="T112" s="7"/>
      <c r="U112" s="7"/>
      <c r="V112" s="7"/>
      <c r="W112" s="7"/>
      <c r="X112" s="7"/>
      <c r="Y112" s="7"/>
      <c r="Z112" s="7"/>
    </row>
    <row r="113" spans="1:26" ht="15.75" customHeight="1">
      <c r="A113" s="7"/>
      <c r="B113" s="7"/>
      <c r="C113" s="29"/>
      <c r="D113" s="30"/>
      <c r="E113" s="30"/>
      <c r="F113" s="30"/>
      <c r="G113" s="30"/>
      <c r="H113" s="30"/>
      <c r="I113" s="7"/>
      <c r="J113" s="7"/>
      <c r="K113" s="7"/>
      <c r="L113" s="7"/>
      <c r="M113" s="7"/>
      <c r="N113" s="7"/>
      <c r="O113" s="7"/>
      <c r="P113" s="7"/>
      <c r="Q113" s="7"/>
      <c r="R113" s="7"/>
      <c r="S113" s="7"/>
      <c r="T113" s="7"/>
      <c r="U113" s="7"/>
      <c r="V113" s="7"/>
      <c r="W113" s="7"/>
      <c r="X113" s="7"/>
      <c r="Y113" s="7"/>
      <c r="Z113" s="7"/>
    </row>
    <row r="114" spans="1:26" ht="15.75" customHeight="1">
      <c r="A114" s="7"/>
      <c r="B114" s="7"/>
      <c r="C114" s="29"/>
      <c r="D114" s="30"/>
      <c r="E114" s="30"/>
      <c r="F114" s="30"/>
      <c r="G114" s="30"/>
      <c r="H114" s="30"/>
      <c r="I114" s="7"/>
      <c r="J114" s="7"/>
      <c r="K114" s="7"/>
      <c r="L114" s="7"/>
      <c r="M114" s="7"/>
      <c r="N114" s="7"/>
      <c r="O114" s="7"/>
      <c r="P114" s="7"/>
      <c r="Q114" s="7"/>
      <c r="R114" s="7"/>
      <c r="S114" s="7"/>
      <c r="T114" s="7"/>
      <c r="U114" s="7"/>
      <c r="V114" s="7"/>
      <c r="W114" s="7"/>
      <c r="X114" s="7"/>
      <c r="Y114" s="7"/>
      <c r="Z114" s="7"/>
    </row>
    <row r="115" spans="1:26" ht="15.75" customHeight="1">
      <c r="A115" s="7"/>
      <c r="B115" s="7"/>
      <c r="C115" s="29"/>
      <c r="D115" s="30"/>
      <c r="E115" s="30"/>
      <c r="F115" s="30"/>
      <c r="G115" s="30"/>
      <c r="H115" s="30"/>
      <c r="I115" s="7"/>
      <c r="J115" s="7"/>
      <c r="K115" s="7"/>
      <c r="L115" s="7"/>
      <c r="M115" s="7"/>
      <c r="N115" s="7"/>
      <c r="O115" s="7"/>
      <c r="P115" s="7"/>
      <c r="Q115" s="7"/>
      <c r="R115" s="7"/>
      <c r="S115" s="7"/>
      <c r="T115" s="7"/>
      <c r="U115" s="7"/>
      <c r="V115" s="7"/>
      <c r="W115" s="7"/>
      <c r="X115" s="7"/>
      <c r="Y115" s="7"/>
      <c r="Z115" s="7"/>
    </row>
    <row r="116" spans="1:26" ht="15.75" customHeight="1">
      <c r="A116" s="7"/>
      <c r="B116" s="7"/>
      <c r="C116" s="29"/>
      <c r="D116" s="30"/>
      <c r="E116" s="30"/>
      <c r="F116" s="30"/>
      <c r="G116" s="30"/>
      <c r="H116" s="30"/>
      <c r="I116" s="7"/>
      <c r="J116" s="7"/>
      <c r="K116" s="7"/>
      <c r="L116" s="7"/>
      <c r="M116" s="7"/>
      <c r="N116" s="7"/>
      <c r="O116" s="7"/>
      <c r="P116" s="7"/>
      <c r="Q116" s="7"/>
      <c r="R116" s="7"/>
      <c r="S116" s="7"/>
      <c r="T116" s="7"/>
      <c r="U116" s="7"/>
      <c r="V116" s="7"/>
      <c r="W116" s="7"/>
      <c r="X116" s="7"/>
      <c r="Y116" s="7"/>
      <c r="Z116" s="7"/>
    </row>
    <row r="117" spans="1:26" ht="15.75" customHeight="1">
      <c r="A117" s="7"/>
      <c r="B117" s="7"/>
      <c r="C117" s="29"/>
      <c r="D117" s="30"/>
      <c r="E117" s="30"/>
      <c r="F117" s="30"/>
      <c r="G117" s="30"/>
      <c r="H117" s="30"/>
      <c r="I117" s="7"/>
      <c r="J117" s="7"/>
      <c r="K117" s="7"/>
      <c r="L117" s="7"/>
      <c r="M117" s="7"/>
      <c r="N117" s="7"/>
      <c r="O117" s="7"/>
      <c r="P117" s="7"/>
      <c r="Q117" s="7"/>
      <c r="R117" s="7"/>
      <c r="S117" s="7"/>
      <c r="T117" s="7"/>
      <c r="U117" s="7"/>
      <c r="V117" s="7"/>
      <c r="W117" s="7"/>
      <c r="X117" s="7"/>
      <c r="Y117" s="7"/>
      <c r="Z117" s="7"/>
    </row>
    <row r="118" spans="1:26" ht="15.75" customHeight="1">
      <c r="A118" s="7"/>
      <c r="B118" s="7"/>
      <c r="C118" s="29"/>
      <c r="D118" s="30"/>
      <c r="E118" s="30"/>
      <c r="F118" s="30"/>
      <c r="G118" s="30"/>
      <c r="H118" s="30"/>
      <c r="I118" s="7"/>
      <c r="J118" s="7"/>
      <c r="K118" s="7"/>
      <c r="L118" s="7"/>
      <c r="M118" s="7"/>
      <c r="N118" s="7"/>
      <c r="O118" s="7"/>
      <c r="P118" s="7"/>
      <c r="Q118" s="7"/>
      <c r="R118" s="7"/>
      <c r="S118" s="7"/>
      <c r="T118" s="7"/>
      <c r="U118" s="7"/>
      <c r="V118" s="7"/>
      <c r="W118" s="7"/>
      <c r="X118" s="7"/>
      <c r="Y118" s="7"/>
      <c r="Z118" s="7"/>
    </row>
    <row r="119" spans="1:26" ht="15.75" customHeight="1">
      <c r="A119" s="7"/>
      <c r="B119" s="7"/>
      <c r="C119" s="29"/>
      <c r="D119" s="30"/>
      <c r="E119" s="30"/>
      <c r="F119" s="30"/>
      <c r="G119" s="30"/>
      <c r="H119" s="30"/>
      <c r="I119" s="7"/>
      <c r="J119" s="7"/>
      <c r="K119" s="7"/>
      <c r="L119" s="7"/>
      <c r="M119" s="7"/>
      <c r="N119" s="7"/>
      <c r="O119" s="7"/>
      <c r="P119" s="7"/>
      <c r="Q119" s="7"/>
      <c r="R119" s="7"/>
      <c r="S119" s="7"/>
      <c r="T119" s="7"/>
      <c r="U119" s="7"/>
      <c r="V119" s="7"/>
      <c r="W119" s="7"/>
      <c r="X119" s="7"/>
      <c r="Y119" s="7"/>
      <c r="Z119" s="7"/>
    </row>
    <row r="120" spans="1:26" ht="15.75" customHeight="1">
      <c r="A120" s="7"/>
      <c r="B120" s="7"/>
      <c r="C120" s="29"/>
      <c r="D120" s="30"/>
      <c r="E120" s="30"/>
      <c r="F120" s="30"/>
      <c r="G120" s="30"/>
      <c r="H120" s="30"/>
      <c r="I120" s="7"/>
      <c r="J120" s="7"/>
      <c r="K120" s="7"/>
      <c r="L120" s="7"/>
      <c r="M120" s="7"/>
      <c r="N120" s="7"/>
      <c r="O120" s="7"/>
      <c r="P120" s="7"/>
      <c r="Q120" s="7"/>
      <c r="R120" s="7"/>
      <c r="S120" s="7"/>
      <c r="T120" s="7"/>
      <c r="U120" s="7"/>
      <c r="V120" s="7"/>
      <c r="W120" s="7"/>
      <c r="X120" s="7"/>
      <c r="Y120" s="7"/>
      <c r="Z120" s="7"/>
    </row>
    <row r="121" spans="1:26" ht="15.75" customHeight="1">
      <c r="A121" s="7"/>
      <c r="B121" s="7"/>
      <c r="C121" s="29"/>
      <c r="D121" s="30"/>
      <c r="E121" s="30"/>
      <c r="F121" s="30"/>
      <c r="G121" s="30"/>
      <c r="H121" s="30"/>
      <c r="I121" s="7"/>
      <c r="J121" s="7"/>
      <c r="K121" s="7"/>
      <c r="L121" s="7"/>
      <c r="M121" s="7"/>
      <c r="N121" s="7"/>
      <c r="O121" s="7"/>
      <c r="P121" s="7"/>
      <c r="Q121" s="7"/>
      <c r="R121" s="7"/>
      <c r="S121" s="7"/>
      <c r="T121" s="7"/>
      <c r="U121" s="7"/>
      <c r="V121" s="7"/>
      <c r="W121" s="7"/>
      <c r="X121" s="7"/>
      <c r="Y121" s="7"/>
      <c r="Z121" s="7"/>
    </row>
    <row r="122" spans="1:26" ht="15.75" customHeight="1">
      <c r="A122" s="7"/>
      <c r="B122" s="7"/>
      <c r="C122" s="29"/>
      <c r="D122" s="30"/>
      <c r="E122" s="30"/>
      <c r="F122" s="30"/>
      <c r="G122" s="30"/>
      <c r="H122" s="30"/>
      <c r="I122" s="7"/>
      <c r="J122" s="7"/>
      <c r="K122" s="7"/>
      <c r="L122" s="7"/>
      <c r="M122" s="7"/>
      <c r="N122" s="7"/>
      <c r="O122" s="7"/>
      <c r="P122" s="7"/>
      <c r="Q122" s="7"/>
      <c r="R122" s="7"/>
      <c r="S122" s="7"/>
      <c r="T122" s="7"/>
      <c r="U122" s="7"/>
      <c r="V122" s="7"/>
      <c r="W122" s="7"/>
      <c r="X122" s="7"/>
      <c r="Y122" s="7"/>
      <c r="Z122" s="7"/>
    </row>
    <row r="123" spans="1:26" ht="15.75" customHeight="1">
      <c r="A123" s="7"/>
      <c r="B123" s="7"/>
      <c r="C123" s="29"/>
      <c r="D123" s="30"/>
      <c r="E123" s="30"/>
      <c r="F123" s="30"/>
      <c r="G123" s="30"/>
      <c r="H123" s="30"/>
      <c r="I123" s="7"/>
      <c r="J123" s="7"/>
      <c r="K123" s="7"/>
      <c r="L123" s="7"/>
      <c r="M123" s="7"/>
      <c r="N123" s="7"/>
      <c r="O123" s="7"/>
      <c r="P123" s="7"/>
      <c r="Q123" s="7"/>
      <c r="R123" s="7"/>
      <c r="S123" s="7"/>
      <c r="T123" s="7"/>
      <c r="U123" s="7"/>
      <c r="V123" s="7"/>
      <c r="W123" s="7"/>
      <c r="X123" s="7"/>
      <c r="Y123" s="7"/>
      <c r="Z123" s="7"/>
    </row>
    <row r="124" spans="1:26" ht="15.75" customHeight="1">
      <c r="A124" s="7"/>
      <c r="B124" s="7"/>
      <c r="C124" s="29"/>
      <c r="D124" s="30"/>
      <c r="E124" s="30"/>
      <c r="F124" s="30"/>
      <c r="G124" s="30"/>
      <c r="H124" s="30"/>
      <c r="I124" s="7"/>
      <c r="J124" s="7"/>
      <c r="K124" s="7"/>
      <c r="L124" s="7"/>
      <c r="M124" s="7"/>
      <c r="N124" s="7"/>
      <c r="O124" s="7"/>
      <c r="P124" s="7"/>
      <c r="Q124" s="7"/>
      <c r="R124" s="7"/>
      <c r="S124" s="7"/>
      <c r="T124" s="7"/>
      <c r="U124" s="7"/>
      <c r="V124" s="7"/>
      <c r="W124" s="7"/>
      <c r="X124" s="7"/>
      <c r="Y124" s="7"/>
      <c r="Z124" s="7"/>
    </row>
    <row r="125" spans="1:26" ht="15.75" customHeight="1">
      <c r="A125" s="7"/>
      <c r="B125" s="7"/>
      <c r="C125" s="29"/>
      <c r="D125" s="30"/>
      <c r="E125" s="30"/>
      <c r="F125" s="30"/>
      <c r="G125" s="30"/>
      <c r="H125" s="30"/>
      <c r="I125" s="7"/>
      <c r="J125" s="7"/>
      <c r="K125" s="7"/>
      <c r="L125" s="7"/>
      <c r="M125" s="7"/>
      <c r="N125" s="7"/>
      <c r="O125" s="7"/>
      <c r="P125" s="7"/>
      <c r="Q125" s="7"/>
      <c r="R125" s="7"/>
      <c r="S125" s="7"/>
      <c r="T125" s="7"/>
      <c r="U125" s="7"/>
      <c r="V125" s="7"/>
      <c r="W125" s="7"/>
      <c r="X125" s="7"/>
      <c r="Y125" s="7"/>
      <c r="Z125" s="7"/>
    </row>
    <row r="126" spans="1:26" ht="15.75" customHeight="1">
      <c r="A126" s="7"/>
      <c r="B126" s="7"/>
      <c r="C126" s="29"/>
      <c r="D126" s="30"/>
      <c r="E126" s="30"/>
      <c r="F126" s="30"/>
      <c r="G126" s="30"/>
      <c r="H126" s="30"/>
      <c r="I126" s="7"/>
      <c r="J126" s="7"/>
      <c r="K126" s="7"/>
      <c r="L126" s="7"/>
      <c r="M126" s="7"/>
      <c r="N126" s="7"/>
      <c r="O126" s="7"/>
      <c r="P126" s="7"/>
      <c r="Q126" s="7"/>
      <c r="R126" s="7"/>
      <c r="S126" s="7"/>
      <c r="T126" s="7"/>
      <c r="U126" s="7"/>
      <c r="V126" s="7"/>
      <c r="W126" s="7"/>
      <c r="X126" s="7"/>
      <c r="Y126" s="7"/>
      <c r="Z126" s="7"/>
    </row>
    <row r="127" spans="1:26" ht="15.75" customHeight="1">
      <c r="A127" s="7"/>
      <c r="B127" s="7"/>
      <c r="C127" s="29"/>
      <c r="D127" s="30"/>
      <c r="E127" s="30"/>
      <c r="F127" s="30"/>
      <c r="G127" s="30"/>
      <c r="H127" s="30"/>
      <c r="I127" s="7"/>
      <c r="J127" s="7"/>
      <c r="K127" s="7"/>
      <c r="L127" s="7"/>
      <c r="M127" s="7"/>
      <c r="N127" s="7"/>
      <c r="O127" s="7"/>
      <c r="P127" s="7"/>
      <c r="Q127" s="7"/>
      <c r="R127" s="7"/>
      <c r="S127" s="7"/>
      <c r="T127" s="7"/>
      <c r="U127" s="7"/>
      <c r="V127" s="7"/>
      <c r="W127" s="7"/>
      <c r="X127" s="7"/>
      <c r="Y127" s="7"/>
      <c r="Z127" s="7"/>
    </row>
    <row r="128" spans="1:26" ht="15.75" customHeight="1">
      <c r="A128" s="7"/>
      <c r="B128" s="7"/>
      <c r="C128" s="29"/>
      <c r="D128" s="30"/>
      <c r="E128" s="30"/>
      <c r="F128" s="30"/>
      <c r="G128" s="30"/>
      <c r="H128" s="30"/>
      <c r="I128" s="7"/>
      <c r="J128" s="7"/>
      <c r="K128" s="7"/>
      <c r="L128" s="7"/>
      <c r="M128" s="7"/>
      <c r="N128" s="7"/>
      <c r="O128" s="7"/>
      <c r="P128" s="7"/>
      <c r="Q128" s="7"/>
      <c r="R128" s="7"/>
      <c r="S128" s="7"/>
      <c r="T128" s="7"/>
      <c r="U128" s="7"/>
      <c r="V128" s="7"/>
      <c r="W128" s="7"/>
      <c r="X128" s="7"/>
      <c r="Y128" s="7"/>
      <c r="Z128" s="7"/>
    </row>
    <row r="129" spans="1:26" ht="15.75" customHeight="1">
      <c r="A129" s="7"/>
      <c r="B129" s="7"/>
      <c r="C129" s="29"/>
      <c r="D129" s="30"/>
      <c r="E129" s="30"/>
      <c r="F129" s="30"/>
      <c r="G129" s="30"/>
      <c r="H129" s="30"/>
      <c r="I129" s="7"/>
      <c r="J129" s="7"/>
      <c r="K129" s="7"/>
      <c r="L129" s="7"/>
      <c r="M129" s="7"/>
      <c r="N129" s="7"/>
      <c r="O129" s="7"/>
      <c r="P129" s="7"/>
      <c r="Q129" s="7"/>
      <c r="R129" s="7"/>
      <c r="S129" s="7"/>
      <c r="T129" s="7"/>
      <c r="U129" s="7"/>
      <c r="V129" s="7"/>
      <c r="W129" s="7"/>
      <c r="X129" s="7"/>
      <c r="Y129" s="7"/>
      <c r="Z129" s="7"/>
    </row>
    <row r="130" spans="1:26" ht="15.75" customHeight="1">
      <c r="A130" s="7"/>
      <c r="B130" s="7"/>
      <c r="C130" s="29"/>
      <c r="D130" s="30"/>
      <c r="E130" s="30"/>
      <c r="F130" s="30"/>
      <c r="G130" s="30"/>
      <c r="H130" s="30"/>
      <c r="I130" s="7"/>
      <c r="J130" s="7"/>
      <c r="K130" s="7"/>
      <c r="L130" s="7"/>
      <c r="M130" s="7"/>
      <c r="N130" s="7"/>
      <c r="O130" s="7"/>
      <c r="P130" s="7"/>
      <c r="Q130" s="7"/>
      <c r="R130" s="7"/>
      <c r="S130" s="7"/>
      <c r="T130" s="7"/>
      <c r="U130" s="7"/>
      <c r="V130" s="7"/>
      <c r="W130" s="7"/>
      <c r="X130" s="7"/>
      <c r="Y130" s="7"/>
      <c r="Z130" s="7"/>
    </row>
    <row r="131" spans="1:26" ht="15.75" customHeight="1">
      <c r="A131" s="7"/>
      <c r="B131" s="7"/>
      <c r="C131" s="29"/>
      <c r="D131" s="30"/>
      <c r="E131" s="30"/>
      <c r="F131" s="30"/>
      <c r="G131" s="30"/>
      <c r="H131" s="30"/>
      <c r="I131" s="7"/>
      <c r="J131" s="7"/>
      <c r="K131" s="7"/>
      <c r="L131" s="7"/>
      <c r="M131" s="7"/>
      <c r="N131" s="7"/>
      <c r="O131" s="7"/>
      <c r="P131" s="7"/>
      <c r="Q131" s="7"/>
      <c r="R131" s="7"/>
      <c r="S131" s="7"/>
      <c r="T131" s="7"/>
      <c r="U131" s="7"/>
      <c r="V131" s="7"/>
      <c r="W131" s="7"/>
      <c r="X131" s="7"/>
      <c r="Y131" s="7"/>
      <c r="Z131" s="7"/>
    </row>
    <row r="132" spans="1:26" ht="15.75" customHeight="1">
      <c r="A132" s="7"/>
      <c r="B132" s="7"/>
      <c r="C132" s="29"/>
      <c r="D132" s="30"/>
      <c r="E132" s="30"/>
      <c r="F132" s="30"/>
      <c r="G132" s="30"/>
      <c r="H132" s="30"/>
      <c r="I132" s="7"/>
      <c r="J132" s="7"/>
      <c r="K132" s="7"/>
      <c r="L132" s="7"/>
      <c r="M132" s="7"/>
      <c r="N132" s="7"/>
      <c r="O132" s="7"/>
      <c r="P132" s="7"/>
      <c r="Q132" s="7"/>
      <c r="R132" s="7"/>
      <c r="S132" s="7"/>
      <c r="T132" s="7"/>
      <c r="U132" s="7"/>
      <c r="V132" s="7"/>
      <c r="W132" s="7"/>
      <c r="X132" s="7"/>
      <c r="Y132" s="7"/>
      <c r="Z132" s="7"/>
    </row>
    <row r="133" spans="1:26" ht="15.75" customHeight="1">
      <c r="A133" s="7"/>
      <c r="B133" s="7"/>
      <c r="C133" s="29"/>
      <c r="D133" s="30"/>
      <c r="E133" s="30"/>
      <c r="F133" s="30"/>
      <c r="G133" s="30"/>
      <c r="H133" s="30"/>
      <c r="I133" s="7"/>
      <c r="J133" s="7"/>
      <c r="K133" s="7"/>
      <c r="L133" s="7"/>
      <c r="M133" s="7"/>
      <c r="N133" s="7"/>
      <c r="O133" s="7"/>
      <c r="P133" s="7"/>
      <c r="Q133" s="7"/>
      <c r="R133" s="7"/>
      <c r="S133" s="7"/>
      <c r="T133" s="7"/>
      <c r="U133" s="7"/>
      <c r="V133" s="7"/>
      <c r="W133" s="7"/>
      <c r="X133" s="7"/>
      <c r="Y133" s="7"/>
      <c r="Z133" s="7"/>
    </row>
    <row r="134" spans="1:26" ht="15.75" customHeight="1">
      <c r="A134" s="7"/>
      <c r="B134" s="7"/>
      <c r="C134" s="29"/>
      <c r="D134" s="30"/>
      <c r="E134" s="30"/>
      <c r="F134" s="30"/>
      <c r="G134" s="30"/>
      <c r="H134" s="30"/>
      <c r="I134" s="7"/>
      <c r="J134" s="7"/>
      <c r="K134" s="7"/>
      <c r="L134" s="7"/>
      <c r="M134" s="7"/>
      <c r="N134" s="7"/>
      <c r="O134" s="7"/>
      <c r="P134" s="7"/>
      <c r="Q134" s="7"/>
      <c r="R134" s="7"/>
      <c r="S134" s="7"/>
      <c r="T134" s="7"/>
      <c r="U134" s="7"/>
      <c r="V134" s="7"/>
      <c r="W134" s="7"/>
      <c r="X134" s="7"/>
      <c r="Y134" s="7"/>
      <c r="Z134" s="7"/>
    </row>
    <row r="135" spans="1:26" ht="15.75" customHeight="1">
      <c r="A135" s="7"/>
      <c r="B135" s="7"/>
      <c r="C135" s="29"/>
      <c r="D135" s="30"/>
      <c r="E135" s="30"/>
      <c r="F135" s="30"/>
      <c r="G135" s="30"/>
      <c r="H135" s="30"/>
      <c r="I135" s="7"/>
      <c r="J135" s="7"/>
      <c r="K135" s="7"/>
      <c r="L135" s="7"/>
      <c r="M135" s="7"/>
      <c r="N135" s="7"/>
      <c r="O135" s="7"/>
      <c r="P135" s="7"/>
      <c r="Q135" s="7"/>
      <c r="R135" s="7"/>
      <c r="S135" s="7"/>
      <c r="T135" s="7"/>
      <c r="U135" s="7"/>
      <c r="V135" s="7"/>
      <c r="W135" s="7"/>
      <c r="X135" s="7"/>
      <c r="Y135" s="7"/>
      <c r="Z135" s="7"/>
    </row>
    <row r="136" spans="1:26" ht="15.75" customHeight="1">
      <c r="A136" s="7"/>
      <c r="B136" s="7"/>
      <c r="C136" s="29"/>
      <c r="D136" s="30"/>
      <c r="E136" s="30"/>
      <c r="F136" s="30"/>
      <c r="G136" s="30"/>
      <c r="H136" s="30"/>
      <c r="I136" s="7"/>
      <c r="J136" s="7"/>
      <c r="K136" s="7"/>
      <c r="L136" s="7"/>
      <c r="M136" s="7"/>
      <c r="N136" s="7"/>
      <c r="O136" s="7"/>
      <c r="P136" s="7"/>
      <c r="Q136" s="7"/>
      <c r="R136" s="7"/>
      <c r="S136" s="7"/>
      <c r="T136" s="7"/>
      <c r="U136" s="7"/>
      <c r="V136" s="7"/>
      <c r="W136" s="7"/>
      <c r="X136" s="7"/>
      <c r="Y136" s="7"/>
      <c r="Z136" s="7"/>
    </row>
    <row r="137" spans="1:26" ht="15.75" customHeight="1">
      <c r="A137" s="7"/>
      <c r="B137" s="7"/>
      <c r="C137" s="29"/>
      <c r="D137" s="30"/>
      <c r="E137" s="30"/>
      <c r="F137" s="30"/>
      <c r="G137" s="30"/>
      <c r="H137" s="30"/>
      <c r="I137" s="7"/>
      <c r="J137" s="7"/>
      <c r="K137" s="7"/>
      <c r="L137" s="7"/>
      <c r="M137" s="7"/>
      <c r="N137" s="7"/>
      <c r="O137" s="7"/>
      <c r="P137" s="7"/>
      <c r="Q137" s="7"/>
      <c r="R137" s="7"/>
      <c r="S137" s="7"/>
      <c r="T137" s="7"/>
      <c r="U137" s="7"/>
      <c r="V137" s="7"/>
      <c r="W137" s="7"/>
      <c r="X137" s="7"/>
      <c r="Y137" s="7"/>
      <c r="Z137" s="7"/>
    </row>
    <row r="138" spans="1:26" ht="15.75" customHeight="1">
      <c r="A138" s="7"/>
      <c r="B138" s="7"/>
      <c r="C138" s="29"/>
      <c r="D138" s="30"/>
      <c r="E138" s="30"/>
      <c r="F138" s="30"/>
      <c r="G138" s="30"/>
      <c r="H138" s="30"/>
      <c r="I138" s="7"/>
      <c r="J138" s="7"/>
      <c r="K138" s="7"/>
      <c r="L138" s="7"/>
      <c r="M138" s="7"/>
      <c r="N138" s="7"/>
      <c r="O138" s="7"/>
      <c r="P138" s="7"/>
      <c r="Q138" s="7"/>
      <c r="R138" s="7"/>
      <c r="S138" s="7"/>
      <c r="T138" s="7"/>
      <c r="U138" s="7"/>
      <c r="V138" s="7"/>
      <c r="W138" s="7"/>
      <c r="X138" s="7"/>
      <c r="Y138" s="7"/>
      <c r="Z138" s="7"/>
    </row>
    <row r="139" spans="1:26" ht="15.75" customHeight="1">
      <c r="A139" s="7"/>
      <c r="B139" s="7"/>
      <c r="C139" s="29"/>
      <c r="D139" s="30"/>
      <c r="E139" s="30"/>
      <c r="F139" s="30"/>
      <c r="G139" s="30"/>
      <c r="H139" s="30"/>
      <c r="I139" s="7"/>
      <c r="J139" s="7"/>
      <c r="K139" s="7"/>
      <c r="L139" s="7"/>
      <c r="M139" s="7"/>
      <c r="N139" s="7"/>
      <c r="O139" s="7"/>
      <c r="P139" s="7"/>
      <c r="Q139" s="7"/>
      <c r="R139" s="7"/>
      <c r="S139" s="7"/>
      <c r="T139" s="7"/>
      <c r="U139" s="7"/>
      <c r="V139" s="7"/>
      <c r="W139" s="7"/>
      <c r="X139" s="7"/>
      <c r="Y139" s="7"/>
      <c r="Z139" s="7"/>
    </row>
    <row r="140" spans="1:26" ht="15.75" customHeight="1">
      <c r="A140" s="7"/>
      <c r="B140" s="7"/>
      <c r="C140" s="29"/>
      <c r="D140" s="30"/>
      <c r="E140" s="30"/>
      <c r="F140" s="30"/>
      <c r="G140" s="30"/>
      <c r="H140" s="30"/>
      <c r="I140" s="7"/>
      <c r="J140" s="7"/>
      <c r="K140" s="7"/>
      <c r="L140" s="7"/>
      <c r="M140" s="7"/>
      <c r="N140" s="7"/>
      <c r="O140" s="7"/>
      <c r="P140" s="7"/>
      <c r="Q140" s="7"/>
      <c r="R140" s="7"/>
      <c r="S140" s="7"/>
      <c r="T140" s="7"/>
      <c r="U140" s="7"/>
      <c r="V140" s="7"/>
      <c r="W140" s="7"/>
      <c r="X140" s="7"/>
      <c r="Y140" s="7"/>
      <c r="Z140" s="7"/>
    </row>
    <row r="141" spans="1:26" ht="15.75" customHeight="1">
      <c r="A141" s="7"/>
      <c r="B141" s="7"/>
      <c r="C141" s="29"/>
      <c r="D141" s="30"/>
      <c r="E141" s="30"/>
      <c r="F141" s="30"/>
      <c r="G141" s="30"/>
      <c r="H141" s="30"/>
      <c r="I141" s="7"/>
      <c r="J141" s="7"/>
      <c r="K141" s="7"/>
      <c r="L141" s="7"/>
      <c r="M141" s="7"/>
      <c r="N141" s="7"/>
      <c r="O141" s="7"/>
      <c r="P141" s="7"/>
      <c r="Q141" s="7"/>
      <c r="R141" s="7"/>
      <c r="S141" s="7"/>
      <c r="T141" s="7"/>
      <c r="U141" s="7"/>
      <c r="V141" s="7"/>
      <c r="W141" s="7"/>
      <c r="X141" s="7"/>
      <c r="Y141" s="7"/>
      <c r="Z141" s="7"/>
    </row>
    <row r="142" spans="1:26" ht="15.75" customHeight="1">
      <c r="A142" s="7"/>
      <c r="B142" s="7"/>
      <c r="C142" s="29"/>
      <c r="D142" s="30"/>
      <c r="E142" s="30"/>
      <c r="F142" s="30"/>
      <c r="G142" s="30"/>
      <c r="H142" s="30"/>
      <c r="I142" s="7"/>
      <c r="J142" s="7"/>
      <c r="K142" s="7"/>
      <c r="L142" s="7"/>
      <c r="M142" s="7"/>
      <c r="N142" s="7"/>
      <c r="O142" s="7"/>
      <c r="P142" s="7"/>
      <c r="Q142" s="7"/>
      <c r="R142" s="7"/>
      <c r="S142" s="7"/>
      <c r="T142" s="7"/>
      <c r="U142" s="7"/>
      <c r="V142" s="7"/>
      <c r="W142" s="7"/>
      <c r="X142" s="7"/>
      <c r="Y142" s="7"/>
      <c r="Z142" s="7"/>
    </row>
    <row r="143" spans="1:26" ht="15.75" customHeight="1">
      <c r="A143" s="7"/>
      <c r="B143" s="7"/>
      <c r="C143" s="29"/>
      <c r="D143" s="30"/>
      <c r="E143" s="30"/>
      <c r="F143" s="30"/>
      <c r="G143" s="30"/>
      <c r="H143" s="30"/>
      <c r="I143" s="7"/>
      <c r="J143" s="7"/>
      <c r="K143" s="7"/>
      <c r="L143" s="7"/>
      <c r="M143" s="7"/>
      <c r="N143" s="7"/>
      <c r="O143" s="7"/>
      <c r="P143" s="7"/>
      <c r="Q143" s="7"/>
      <c r="R143" s="7"/>
      <c r="S143" s="7"/>
      <c r="T143" s="7"/>
      <c r="U143" s="7"/>
      <c r="V143" s="7"/>
      <c r="W143" s="7"/>
      <c r="X143" s="7"/>
      <c r="Y143" s="7"/>
      <c r="Z143" s="7"/>
    </row>
    <row r="144" spans="1:26" ht="15.75" customHeight="1">
      <c r="A144" s="7"/>
      <c r="B144" s="7"/>
      <c r="C144" s="29"/>
      <c r="D144" s="30"/>
      <c r="E144" s="30"/>
      <c r="F144" s="30"/>
      <c r="G144" s="30"/>
      <c r="H144" s="30"/>
      <c r="I144" s="7"/>
      <c r="J144" s="7"/>
      <c r="K144" s="7"/>
      <c r="L144" s="7"/>
      <c r="M144" s="7"/>
      <c r="N144" s="7"/>
      <c r="O144" s="7"/>
      <c r="P144" s="7"/>
      <c r="Q144" s="7"/>
      <c r="R144" s="7"/>
      <c r="S144" s="7"/>
      <c r="T144" s="7"/>
      <c r="U144" s="7"/>
      <c r="V144" s="7"/>
      <c r="W144" s="7"/>
      <c r="X144" s="7"/>
      <c r="Y144" s="7"/>
      <c r="Z144" s="7"/>
    </row>
    <row r="145" spans="1:26" ht="15.75" customHeight="1">
      <c r="A145" s="7"/>
      <c r="B145" s="7"/>
      <c r="C145" s="29"/>
      <c r="D145" s="30"/>
      <c r="E145" s="30"/>
      <c r="F145" s="30"/>
      <c r="G145" s="30"/>
      <c r="H145" s="30"/>
      <c r="I145" s="7"/>
      <c r="J145" s="7"/>
      <c r="K145" s="7"/>
      <c r="L145" s="7"/>
      <c r="M145" s="7"/>
      <c r="N145" s="7"/>
      <c r="O145" s="7"/>
      <c r="P145" s="7"/>
      <c r="Q145" s="7"/>
      <c r="R145" s="7"/>
      <c r="S145" s="7"/>
      <c r="T145" s="7"/>
      <c r="U145" s="7"/>
      <c r="V145" s="7"/>
      <c r="W145" s="7"/>
      <c r="X145" s="7"/>
      <c r="Y145" s="7"/>
      <c r="Z145" s="7"/>
    </row>
    <row r="146" spans="1:26" ht="15.75" customHeight="1">
      <c r="A146" s="7"/>
      <c r="B146" s="7"/>
      <c r="C146" s="29"/>
      <c r="D146" s="30"/>
      <c r="E146" s="30"/>
      <c r="F146" s="30"/>
      <c r="G146" s="30"/>
      <c r="H146" s="30"/>
      <c r="I146" s="7"/>
      <c r="J146" s="7"/>
      <c r="K146" s="7"/>
      <c r="L146" s="7"/>
      <c r="M146" s="7"/>
      <c r="N146" s="7"/>
      <c r="O146" s="7"/>
      <c r="P146" s="7"/>
      <c r="Q146" s="7"/>
      <c r="R146" s="7"/>
      <c r="S146" s="7"/>
      <c r="T146" s="7"/>
      <c r="U146" s="7"/>
      <c r="V146" s="7"/>
      <c r="W146" s="7"/>
      <c r="X146" s="7"/>
      <c r="Y146" s="7"/>
      <c r="Z146" s="7"/>
    </row>
    <row r="147" spans="1:26" ht="15.75" customHeight="1">
      <c r="A147" s="7"/>
      <c r="B147" s="7"/>
      <c r="C147" s="29"/>
      <c r="D147" s="30"/>
      <c r="E147" s="30"/>
      <c r="F147" s="30"/>
      <c r="G147" s="30"/>
      <c r="H147" s="30"/>
      <c r="I147" s="7"/>
      <c r="J147" s="7"/>
      <c r="K147" s="7"/>
      <c r="L147" s="7"/>
      <c r="M147" s="7"/>
      <c r="N147" s="7"/>
      <c r="O147" s="7"/>
      <c r="P147" s="7"/>
      <c r="Q147" s="7"/>
      <c r="R147" s="7"/>
      <c r="S147" s="7"/>
      <c r="T147" s="7"/>
      <c r="U147" s="7"/>
      <c r="V147" s="7"/>
      <c r="W147" s="7"/>
      <c r="X147" s="7"/>
      <c r="Y147" s="7"/>
      <c r="Z147" s="7"/>
    </row>
    <row r="148" spans="1:26" ht="15.75" customHeight="1">
      <c r="A148" s="7"/>
      <c r="B148" s="7"/>
      <c r="C148" s="29"/>
      <c r="D148" s="30"/>
      <c r="E148" s="30"/>
      <c r="F148" s="30"/>
      <c r="G148" s="30"/>
      <c r="H148" s="30"/>
      <c r="I148" s="7"/>
      <c r="J148" s="7"/>
      <c r="K148" s="7"/>
      <c r="L148" s="7"/>
      <c r="M148" s="7"/>
      <c r="N148" s="7"/>
      <c r="O148" s="7"/>
      <c r="P148" s="7"/>
      <c r="Q148" s="7"/>
      <c r="R148" s="7"/>
      <c r="S148" s="7"/>
      <c r="T148" s="7"/>
      <c r="U148" s="7"/>
      <c r="V148" s="7"/>
      <c r="W148" s="7"/>
      <c r="X148" s="7"/>
      <c r="Y148" s="7"/>
      <c r="Z148" s="7"/>
    </row>
    <row r="149" spans="1:26" ht="15.75" customHeight="1">
      <c r="A149" s="7"/>
      <c r="B149" s="7"/>
      <c r="C149" s="29"/>
      <c r="D149" s="30"/>
      <c r="E149" s="30"/>
      <c r="F149" s="30"/>
      <c r="G149" s="30"/>
      <c r="H149" s="30"/>
      <c r="I149" s="7"/>
      <c r="J149" s="7"/>
      <c r="K149" s="7"/>
      <c r="L149" s="7"/>
      <c r="M149" s="7"/>
      <c r="N149" s="7"/>
      <c r="O149" s="7"/>
      <c r="P149" s="7"/>
      <c r="Q149" s="7"/>
      <c r="R149" s="7"/>
      <c r="S149" s="7"/>
      <c r="T149" s="7"/>
      <c r="U149" s="7"/>
      <c r="V149" s="7"/>
      <c r="W149" s="7"/>
      <c r="X149" s="7"/>
      <c r="Y149" s="7"/>
      <c r="Z149" s="7"/>
    </row>
    <row r="150" spans="1:26" ht="15.75" customHeight="1">
      <c r="A150" s="7"/>
      <c r="B150" s="7"/>
      <c r="C150" s="29"/>
      <c r="D150" s="30"/>
      <c r="E150" s="30"/>
      <c r="F150" s="30"/>
      <c r="G150" s="30"/>
      <c r="H150" s="30"/>
      <c r="I150" s="7"/>
      <c r="J150" s="7"/>
      <c r="K150" s="7"/>
      <c r="L150" s="7"/>
      <c r="M150" s="7"/>
      <c r="N150" s="7"/>
      <c r="O150" s="7"/>
      <c r="P150" s="7"/>
      <c r="Q150" s="7"/>
      <c r="R150" s="7"/>
      <c r="S150" s="7"/>
      <c r="T150" s="7"/>
      <c r="U150" s="7"/>
      <c r="V150" s="7"/>
      <c r="W150" s="7"/>
      <c r="X150" s="7"/>
      <c r="Y150" s="7"/>
      <c r="Z150" s="7"/>
    </row>
    <row r="151" spans="1:26" ht="15.75" customHeight="1">
      <c r="A151" s="7"/>
      <c r="B151" s="7"/>
      <c r="C151" s="29"/>
      <c r="D151" s="30"/>
      <c r="E151" s="30"/>
      <c r="F151" s="30"/>
      <c r="G151" s="30"/>
      <c r="H151" s="30"/>
      <c r="I151" s="7"/>
      <c r="J151" s="7"/>
      <c r="K151" s="7"/>
      <c r="L151" s="7"/>
      <c r="M151" s="7"/>
      <c r="N151" s="7"/>
      <c r="O151" s="7"/>
      <c r="P151" s="7"/>
      <c r="Q151" s="7"/>
      <c r="R151" s="7"/>
      <c r="S151" s="7"/>
      <c r="T151" s="7"/>
      <c r="U151" s="7"/>
      <c r="V151" s="7"/>
      <c r="W151" s="7"/>
      <c r="X151" s="7"/>
      <c r="Y151" s="7"/>
      <c r="Z151" s="7"/>
    </row>
    <row r="152" spans="1:26" ht="15.75" customHeight="1">
      <c r="A152" s="7"/>
      <c r="B152" s="7"/>
      <c r="C152" s="29"/>
      <c r="D152" s="30"/>
      <c r="E152" s="30"/>
      <c r="F152" s="30"/>
      <c r="G152" s="30"/>
      <c r="H152" s="30"/>
      <c r="I152" s="7"/>
      <c r="J152" s="7"/>
      <c r="K152" s="7"/>
      <c r="L152" s="7"/>
      <c r="M152" s="7"/>
      <c r="N152" s="7"/>
      <c r="O152" s="7"/>
      <c r="P152" s="7"/>
      <c r="Q152" s="7"/>
      <c r="R152" s="7"/>
      <c r="S152" s="7"/>
      <c r="T152" s="7"/>
      <c r="U152" s="7"/>
      <c r="V152" s="7"/>
      <c r="W152" s="7"/>
      <c r="X152" s="7"/>
      <c r="Y152" s="7"/>
      <c r="Z152" s="7"/>
    </row>
    <row r="153" spans="1:26" ht="15.75" customHeight="1">
      <c r="A153" s="7"/>
      <c r="B153" s="7"/>
      <c r="C153" s="29"/>
      <c r="D153" s="30"/>
      <c r="E153" s="30"/>
      <c r="F153" s="30"/>
      <c r="G153" s="30"/>
      <c r="H153" s="30"/>
      <c r="I153" s="7"/>
      <c r="J153" s="7"/>
      <c r="K153" s="7"/>
      <c r="L153" s="7"/>
      <c r="M153" s="7"/>
      <c r="N153" s="7"/>
      <c r="O153" s="7"/>
      <c r="P153" s="7"/>
      <c r="Q153" s="7"/>
      <c r="R153" s="7"/>
      <c r="S153" s="7"/>
      <c r="T153" s="7"/>
      <c r="U153" s="7"/>
      <c r="V153" s="7"/>
      <c r="W153" s="7"/>
      <c r="X153" s="7"/>
      <c r="Y153" s="7"/>
      <c r="Z153" s="7"/>
    </row>
    <row r="154" spans="1:26" ht="15.75" customHeight="1">
      <c r="A154" s="7"/>
      <c r="B154" s="7"/>
      <c r="C154" s="29"/>
      <c r="D154" s="30"/>
      <c r="E154" s="30"/>
      <c r="F154" s="30"/>
      <c r="G154" s="30"/>
      <c r="H154" s="30"/>
      <c r="I154" s="7"/>
      <c r="J154" s="7"/>
      <c r="K154" s="7"/>
      <c r="L154" s="7"/>
      <c r="M154" s="7"/>
      <c r="N154" s="7"/>
      <c r="O154" s="7"/>
      <c r="P154" s="7"/>
      <c r="Q154" s="7"/>
      <c r="R154" s="7"/>
      <c r="S154" s="7"/>
      <c r="T154" s="7"/>
      <c r="U154" s="7"/>
      <c r="V154" s="7"/>
      <c r="W154" s="7"/>
      <c r="X154" s="7"/>
      <c r="Y154" s="7"/>
      <c r="Z154" s="7"/>
    </row>
    <row r="155" spans="1:26" ht="15.75" customHeight="1">
      <c r="A155" s="7"/>
      <c r="B155" s="7"/>
      <c r="C155" s="29"/>
      <c r="D155" s="30"/>
      <c r="E155" s="30"/>
      <c r="F155" s="30"/>
      <c r="G155" s="30"/>
      <c r="H155" s="30"/>
      <c r="I155" s="7"/>
      <c r="J155" s="7"/>
      <c r="K155" s="7"/>
      <c r="L155" s="7"/>
      <c r="M155" s="7"/>
      <c r="N155" s="7"/>
      <c r="O155" s="7"/>
      <c r="P155" s="7"/>
      <c r="Q155" s="7"/>
      <c r="R155" s="7"/>
      <c r="S155" s="7"/>
      <c r="T155" s="7"/>
      <c r="U155" s="7"/>
      <c r="V155" s="7"/>
      <c r="W155" s="7"/>
      <c r="X155" s="7"/>
      <c r="Y155" s="7"/>
      <c r="Z155" s="7"/>
    </row>
    <row r="156" spans="1:26" ht="15.75" customHeight="1">
      <c r="A156" s="7"/>
      <c r="B156" s="7"/>
      <c r="C156" s="29"/>
      <c r="D156" s="30"/>
      <c r="E156" s="30"/>
      <c r="F156" s="30"/>
      <c r="G156" s="30"/>
      <c r="H156" s="30"/>
      <c r="I156" s="7"/>
      <c r="J156" s="7"/>
      <c r="K156" s="7"/>
      <c r="L156" s="7"/>
      <c r="M156" s="7"/>
      <c r="N156" s="7"/>
      <c r="O156" s="7"/>
      <c r="P156" s="7"/>
      <c r="Q156" s="7"/>
      <c r="R156" s="7"/>
      <c r="S156" s="7"/>
      <c r="T156" s="7"/>
      <c r="U156" s="7"/>
      <c r="V156" s="7"/>
      <c r="W156" s="7"/>
      <c r="X156" s="7"/>
      <c r="Y156" s="7"/>
      <c r="Z156" s="7"/>
    </row>
    <row r="157" spans="1:26" ht="15.75" customHeight="1">
      <c r="A157" s="7"/>
      <c r="B157" s="7"/>
      <c r="C157" s="29"/>
      <c r="D157" s="30"/>
      <c r="E157" s="30"/>
      <c r="F157" s="30"/>
      <c r="G157" s="30"/>
      <c r="H157" s="30"/>
      <c r="I157" s="7"/>
      <c r="J157" s="7"/>
      <c r="K157" s="7"/>
      <c r="L157" s="7"/>
      <c r="M157" s="7"/>
      <c r="N157" s="7"/>
      <c r="O157" s="7"/>
      <c r="P157" s="7"/>
      <c r="Q157" s="7"/>
      <c r="R157" s="7"/>
      <c r="S157" s="7"/>
      <c r="T157" s="7"/>
      <c r="U157" s="7"/>
      <c r="V157" s="7"/>
      <c r="W157" s="7"/>
      <c r="X157" s="7"/>
      <c r="Y157" s="7"/>
      <c r="Z157" s="7"/>
    </row>
    <row r="158" spans="1:26" ht="15.75" customHeight="1">
      <c r="A158" s="7"/>
      <c r="B158" s="7"/>
      <c r="C158" s="29"/>
      <c r="D158" s="30"/>
      <c r="E158" s="30"/>
      <c r="F158" s="30"/>
      <c r="G158" s="30"/>
      <c r="H158" s="30"/>
      <c r="I158" s="7"/>
      <c r="J158" s="7"/>
      <c r="K158" s="7"/>
      <c r="L158" s="7"/>
      <c r="M158" s="7"/>
      <c r="N158" s="7"/>
      <c r="O158" s="7"/>
      <c r="P158" s="7"/>
      <c r="Q158" s="7"/>
      <c r="R158" s="7"/>
      <c r="S158" s="7"/>
      <c r="T158" s="7"/>
      <c r="U158" s="7"/>
      <c r="V158" s="7"/>
      <c r="W158" s="7"/>
      <c r="X158" s="7"/>
      <c r="Y158" s="7"/>
      <c r="Z158" s="7"/>
    </row>
    <row r="159" spans="1:26" ht="15.75" customHeight="1">
      <c r="A159" s="7"/>
      <c r="B159" s="7"/>
      <c r="C159" s="29"/>
      <c r="D159" s="30"/>
      <c r="E159" s="30"/>
      <c r="F159" s="30"/>
      <c r="G159" s="30"/>
      <c r="H159" s="30"/>
      <c r="I159" s="7"/>
      <c r="J159" s="7"/>
      <c r="K159" s="7"/>
      <c r="L159" s="7"/>
      <c r="M159" s="7"/>
      <c r="N159" s="7"/>
      <c r="O159" s="7"/>
      <c r="P159" s="7"/>
      <c r="Q159" s="7"/>
      <c r="R159" s="7"/>
      <c r="S159" s="7"/>
      <c r="T159" s="7"/>
      <c r="U159" s="7"/>
      <c r="V159" s="7"/>
      <c r="W159" s="7"/>
      <c r="X159" s="7"/>
      <c r="Y159" s="7"/>
      <c r="Z159" s="7"/>
    </row>
    <row r="160" spans="1:26" ht="15.75" customHeight="1">
      <c r="A160" s="7"/>
      <c r="B160" s="7"/>
      <c r="C160" s="29"/>
      <c r="D160" s="30"/>
      <c r="E160" s="30"/>
      <c r="F160" s="30"/>
      <c r="G160" s="30"/>
      <c r="H160" s="30"/>
      <c r="I160" s="7"/>
      <c r="J160" s="7"/>
      <c r="K160" s="7"/>
      <c r="L160" s="7"/>
      <c r="M160" s="7"/>
      <c r="N160" s="7"/>
      <c r="O160" s="7"/>
      <c r="P160" s="7"/>
      <c r="Q160" s="7"/>
      <c r="R160" s="7"/>
      <c r="S160" s="7"/>
      <c r="T160" s="7"/>
      <c r="U160" s="7"/>
      <c r="V160" s="7"/>
      <c r="W160" s="7"/>
      <c r="X160" s="7"/>
      <c r="Y160" s="7"/>
      <c r="Z160" s="7"/>
    </row>
    <row r="161" spans="1:26" ht="15.75" customHeight="1">
      <c r="A161" s="7"/>
      <c r="B161" s="7"/>
      <c r="C161" s="29"/>
      <c r="D161" s="30"/>
      <c r="E161" s="30"/>
      <c r="F161" s="30"/>
      <c r="G161" s="30"/>
      <c r="H161" s="30"/>
      <c r="I161" s="7"/>
      <c r="J161" s="7"/>
      <c r="K161" s="7"/>
      <c r="L161" s="7"/>
      <c r="M161" s="7"/>
      <c r="N161" s="7"/>
      <c r="O161" s="7"/>
      <c r="P161" s="7"/>
      <c r="Q161" s="7"/>
      <c r="R161" s="7"/>
      <c r="S161" s="7"/>
      <c r="T161" s="7"/>
      <c r="U161" s="7"/>
      <c r="V161" s="7"/>
      <c r="W161" s="7"/>
      <c r="X161" s="7"/>
      <c r="Y161" s="7"/>
      <c r="Z161" s="7"/>
    </row>
    <row r="162" spans="1:26" ht="15.75" customHeight="1">
      <c r="A162" s="7"/>
      <c r="B162" s="7"/>
      <c r="C162" s="29"/>
      <c r="D162" s="30"/>
      <c r="E162" s="30"/>
      <c r="F162" s="30"/>
      <c r="G162" s="30"/>
      <c r="H162" s="30"/>
      <c r="I162" s="7"/>
      <c r="J162" s="7"/>
      <c r="K162" s="7"/>
      <c r="L162" s="7"/>
      <c r="M162" s="7"/>
      <c r="N162" s="7"/>
      <c r="O162" s="7"/>
      <c r="P162" s="7"/>
      <c r="Q162" s="7"/>
      <c r="R162" s="7"/>
      <c r="S162" s="7"/>
      <c r="T162" s="7"/>
      <c r="U162" s="7"/>
      <c r="V162" s="7"/>
      <c r="W162" s="7"/>
      <c r="X162" s="7"/>
      <c r="Y162" s="7"/>
      <c r="Z162" s="7"/>
    </row>
    <row r="163" spans="1:26" ht="15.75" customHeight="1">
      <c r="A163" s="7"/>
      <c r="B163" s="7"/>
      <c r="C163" s="29"/>
      <c r="D163" s="30"/>
      <c r="E163" s="30"/>
      <c r="F163" s="30"/>
      <c r="G163" s="30"/>
      <c r="H163" s="30"/>
      <c r="I163" s="7"/>
      <c r="J163" s="7"/>
      <c r="K163" s="7"/>
      <c r="L163" s="7"/>
      <c r="M163" s="7"/>
      <c r="N163" s="7"/>
      <c r="O163" s="7"/>
      <c r="P163" s="7"/>
      <c r="Q163" s="7"/>
      <c r="R163" s="7"/>
      <c r="S163" s="7"/>
      <c r="T163" s="7"/>
      <c r="U163" s="7"/>
      <c r="V163" s="7"/>
      <c r="W163" s="7"/>
      <c r="X163" s="7"/>
      <c r="Y163" s="7"/>
      <c r="Z163" s="7"/>
    </row>
    <row r="164" spans="1:26" ht="15.75" customHeight="1">
      <c r="A164" s="7"/>
      <c r="B164" s="7"/>
      <c r="C164" s="29"/>
      <c r="D164" s="30"/>
      <c r="E164" s="30"/>
      <c r="F164" s="30"/>
      <c r="G164" s="30"/>
      <c r="H164" s="30"/>
      <c r="I164" s="7"/>
      <c r="J164" s="7"/>
      <c r="K164" s="7"/>
      <c r="L164" s="7"/>
      <c r="M164" s="7"/>
      <c r="N164" s="7"/>
      <c r="O164" s="7"/>
      <c r="P164" s="7"/>
      <c r="Q164" s="7"/>
      <c r="R164" s="7"/>
      <c r="S164" s="7"/>
      <c r="T164" s="7"/>
      <c r="U164" s="7"/>
      <c r="V164" s="7"/>
      <c r="W164" s="7"/>
      <c r="X164" s="7"/>
      <c r="Y164" s="7"/>
      <c r="Z164" s="7"/>
    </row>
    <row r="165" spans="1:26" ht="15.75" customHeight="1">
      <c r="A165" s="7"/>
      <c r="B165" s="7"/>
      <c r="C165" s="29"/>
      <c r="D165" s="30"/>
      <c r="E165" s="30"/>
      <c r="F165" s="30"/>
      <c r="G165" s="30"/>
      <c r="H165" s="30"/>
      <c r="I165" s="7"/>
      <c r="J165" s="7"/>
      <c r="K165" s="7"/>
      <c r="L165" s="7"/>
      <c r="M165" s="7"/>
      <c r="N165" s="7"/>
      <c r="O165" s="7"/>
      <c r="P165" s="7"/>
      <c r="Q165" s="7"/>
      <c r="R165" s="7"/>
      <c r="S165" s="7"/>
      <c r="T165" s="7"/>
      <c r="U165" s="7"/>
      <c r="V165" s="7"/>
      <c r="W165" s="7"/>
      <c r="X165" s="7"/>
      <c r="Y165" s="7"/>
      <c r="Z165" s="7"/>
    </row>
    <row r="166" spans="1:26" ht="15.75" customHeight="1">
      <c r="A166" s="7"/>
      <c r="B166" s="7"/>
      <c r="C166" s="29"/>
      <c r="D166" s="30"/>
      <c r="E166" s="30"/>
      <c r="F166" s="30"/>
      <c r="G166" s="30"/>
      <c r="H166" s="30"/>
      <c r="I166" s="7"/>
      <c r="J166" s="7"/>
      <c r="K166" s="7"/>
      <c r="L166" s="7"/>
      <c r="M166" s="7"/>
      <c r="N166" s="7"/>
      <c r="O166" s="7"/>
      <c r="P166" s="7"/>
      <c r="Q166" s="7"/>
      <c r="R166" s="7"/>
      <c r="S166" s="7"/>
      <c r="T166" s="7"/>
      <c r="U166" s="7"/>
      <c r="V166" s="7"/>
      <c r="W166" s="7"/>
      <c r="X166" s="7"/>
      <c r="Y166" s="7"/>
      <c r="Z166" s="7"/>
    </row>
    <row r="167" spans="1:26" ht="15.75" customHeight="1">
      <c r="A167" s="7"/>
      <c r="B167" s="7"/>
      <c r="C167" s="29"/>
      <c r="D167" s="30"/>
      <c r="E167" s="30"/>
      <c r="F167" s="30"/>
      <c r="G167" s="30"/>
      <c r="H167" s="30"/>
      <c r="I167" s="7"/>
      <c r="J167" s="7"/>
      <c r="K167" s="7"/>
      <c r="L167" s="7"/>
      <c r="M167" s="7"/>
      <c r="N167" s="7"/>
      <c r="O167" s="7"/>
      <c r="P167" s="7"/>
      <c r="Q167" s="7"/>
      <c r="R167" s="7"/>
      <c r="S167" s="7"/>
      <c r="T167" s="7"/>
      <c r="U167" s="7"/>
      <c r="V167" s="7"/>
      <c r="W167" s="7"/>
      <c r="X167" s="7"/>
      <c r="Y167" s="7"/>
      <c r="Z167" s="7"/>
    </row>
    <row r="168" spans="1:26" ht="15.75" customHeight="1">
      <c r="A168" s="7"/>
      <c r="B168" s="7"/>
      <c r="C168" s="29"/>
      <c r="D168" s="30"/>
      <c r="E168" s="30"/>
      <c r="F168" s="30"/>
      <c r="G168" s="30"/>
      <c r="H168" s="30"/>
      <c r="I168" s="7"/>
      <c r="J168" s="7"/>
      <c r="K168" s="7"/>
      <c r="L168" s="7"/>
      <c r="M168" s="7"/>
      <c r="N168" s="7"/>
      <c r="O168" s="7"/>
      <c r="P168" s="7"/>
      <c r="Q168" s="7"/>
      <c r="R168" s="7"/>
      <c r="S168" s="7"/>
      <c r="T168" s="7"/>
      <c r="U168" s="7"/>
      <c r="V168" s="7"/>
      <c r="W168" s="7"/>
      <c r="X168" s="7"/>
      <c r="Y168" s="7"/>
      <c r="Z168" s="7"/>
    </row>
    <row r="169" spans="1:26" ht="15.75" customHeight="1">
      <c r="A169" s="7"/>
      <c r="B169" s="7"/>
      <c r="C169" s="29"/>
      <c r="D169" s="30"/>
      <c r="E169" s="30"/>
      <c r="F169" s="30"/>
      <c r="G169" s="30"/>
      <c r="H169" s="30"/>
      <c r="I169" s="7"/>
      <c r="J169" s="7"/>
      <c r="K169" s="7"/>
      <c r="L169" s="7"/>
      <c r="M169" s="7"/>
      <c r="N169" s="7"/>
      <c r="O169" s="7"/>
      <c r="P169" s="7"/>
      <c r="Q169" s="7"/>
      <c r="R169" s="7"/>
      <c r="S169" s="7"/>
      <c r="T169" s="7"/>
      <c r="U169" s="7"/>
      <c r="V169" s="7"/>
      <c r="W169" s="7"/>
      <c r="X169" s="7"/>
      <c r="Y169" s="7"/>
      <c r="Z169" s="7"/>
    </row>
    <row r="170" spans="1:26" ht="15.75" customHeight="1">
      <c r="A170" s="7"/>
      <c r="B170" s="7"/>
      <c r="C170" s="29"/>
      <c r="D170" s="30"/>
      <c r="E170" s="30"/>
      <c r="F170" s="30"/>
      <c r="G170" s="30"/>
      <c r="H170" s="30"/>
      <c r="I170" s="7"/>
      <c r="J170" s="7"/>
      <c r="K170" s="7"/>
      <c r="L170" s="7"/>
      <c r="M170" s="7"/>
      <c r="N170" s="7"/>
      <c r="O170" s="7"/>
      <c r="P170" s="7"/>
      <c r="Q170" s="7"/>
      <c r="R170" s="7"/>
      <c r="S170" s="7"/>
      <c r="T170" s="7"/>
      <c r="U170" s="7"/>
      <c r="V170" s="7"/>
      <c r="W170" s="7"/>
      <c r="X170" s="7"/>
      <c r="Y170" s="7"/>
      <c r="Z170" s="7"/>
    </row>
    <row r="171" spans="1:26" ht="15.75" customHeight="1">
      <c r="A171" s="7"/>
      <c r="B171" s="7"/>
      <c r="C171" s="29"/>
      <c r="D171" s="30"/>
      <c r="E171" s="30"/>
      <c r="F171" s="30"/>
      <c r="G171" s="30"/>
      <c r="H171" s="30"/>
      <c r="I171" s="7"/>
      <c r="J171" s="7"/>
      <c r="K171" s="7"/>
      <c r="L171" s="7"/>
      <c r="M171" s="7"/>
      <c r="N171" s="7"/>
      <c r="O171" s="7"/>
      <c r="P171" s="7"/>
      <c r="Q171" s="7"/>
      <c r="R171" s="7"/>
      <c r="S171" s="7"/>
      <c r="T171" s="7"/>
      <c r="U171" s="7"/>
      <c r="V171" s="7"/>
      <c r="W171" s="7"/>
      <c r="X171" s="7"/>
      <c r="Y171" s="7"/>
      <c r="Z171" s="7"/>
    </row>
    <row r="172" spans="1:26" ht="15.75" customHeight="1">
      <c r="A172" s="7"/>
      <c r="B172" s="7"/>
      <c r="C172" s="29"/>
      <c r="D172" s="30"/>
      <c r="E172" s="30"/>
      <c r="F172" s="30"/>
      <c r="G172" s="30"/>
      <c r="H172" s="30"/>
      <c r="I172" s="7"/>
      <c r="J172" s="7"/>
      <c r="K172" s="7"/>
      <c r="L172" s="7"/>
      <c r="M172" s="7"/>
      <c r="N172" s="7"/>
      <c r="O172" s="7"/>
      <c r="P172" s="7"/>
      <c r="Q172" s="7"/>
      <c r="R172" s="7"/>
      <c r="S172" s="7"/>
      <c r="T172" s="7"/>
      <c r="U172" s="7"/>
      <c r="V172" s="7"/>
      <c r="W172" s="7"/>
      <c r="X172" s="7"/>
      <c r="Y172" s="7"/>
      <c r="Z172" s="7"/>
    </row>
    <row r="173" spans="1:26" ht="15.75" customHeight="1">
      <c r="A173" s="7"/>
      <c r="B173" s="7"/>
      <c r="C173" s="29"/>
      <c r="D173" s="30"/>
      <c r="E173" s="30"/>
      <c r="F173" s="30"/>
      <c r="G173" s="30"/>
      <c r="H173" s="30"/>
      <c r="I173" s="7"/>
      <c r="J173" s="7"/>
      <c r="K173" s="7"/>
      <c r="L173" s="7"/>
      <c r="M173" s="7"/>
      <c r="N173" s="7"/>
      <c r="O173" s="7"/>
      <c r="P173" s="7"/>
      <c r="Q173" s="7"/>
      <c r="R173" s="7"/>
      <c r="S173" s="7"/>
      <c r="T173" s="7"/>
      <c r="U173" s="7"/>
      <c r="V173" s="7"/>
      <c r="W173" s="7"/>
      <c r="X173" s="7"/>
      <c r="Y173" s="7"/>
      <c r="Z173" s="7"/>
    </row>
    <row r="174" spans="1:26" ht="15.75" customHeight="1">
      <c r="A174" s="7"/>
      <c r="B174" s="7"/>
      <c r="C174" s="29"/>
      <c r="D174" s="30"/>
      <c r="E174" s="30"/>
      <c r="F174" s="30"/>
      <c r="G174" s="30"/>
      <c r="H174" s="30"/>
      <c r="I174" s="7"/>
      <c r="J174" s="7"/>
      <c r="K174" s="7"/>
      <c r="L174" s="7"/>
      <c r="M174" s="7"/>
      <c r="N174" s="7"/>
      <c r="O174" s="7"/>
      <c r="P174" s="7"/>
      <c r="Q174" s="7"/>
      <c r="R174" s="7"/>
      <c r="S174" s="7"/>
      <c r="T174" s="7"/>
      <c r="U174" s="7"/>
      <c r="V174" s="7"/>
      <c r="W174" s="7"/>
      <c r="X174" s="7"/>
      <c r="Y174" s="7"/>
      <c r="Z174" s="7"/>
    </row>
    <row r="175" spans="1:26" ht="15.75" customHeight="1">
      <c r="A175" s="7"/>
      <c r="B175" s="7"/>
      <c r="C175" s="29"/>
      <c r="D175" s="30"/>
      <c r="E175" s="30"/>
      <c r="F175" s="30"/>
      <c r="G175" s="30"/>
      <c r="H175" s="30"/>
      <c r="I175" s="7"/>
      <c r="J175" s="7"/>
      <c r="K175" s="7"/>
      <c r="L175" s="7"/>
      <c r="M175" s="7"/>
      <c r="N175" s="7"/>
      <c r="O175" s="7"/>
      <c r="P175" s="7"/>
      <c r="Q175" s="7"/>
      <c r="R175" s="7"/>
      <c r="S175" s="7"/>
      <c r="T175" s="7"/>
      <c r="U175" s="7"/>
      <c r="V175" s="7"/>
      <c r="W175" s="7"/>
      <c r="X175" s="7"/>
      <c r="Y175" s="7"/>
      <c r="Z175" s="7"/>
    </row>
    <row r="176" spans="1:26" ht="15.75" customHeight="1">
      <c r="A176" s="7"/>
      <c r="B176" s="7"/>
      <c r="C176" s="29"/>
      <c r="D176" s="30"/>
      <c r="E176" s="30"/>
      <c r="F176" s="30"/>
      <c r="G176" s="30"/>
      <c r="H176" s="30"/>
      <c r="I176" s="7"/>
      <c r="J176" s="7"/>
      <c r="K176" s="7"/>
      <c r="L176" s="7"/>
      <c r="M176" s="7"/>
      <c r="N176" s="7"/>
      <c r="O176" s="7"/>
      <c r="P176" s="7"/>
      <c r="Q176" s="7"/>
      <c r="R176" s="7"/>
      <c r="S176" s="7"/>
      <c r="T176" s="7"/>
      <c r="U176" s="7"/>
      <c r="V176" s="7"/>
      <c r="W176" s="7"/>
      <c r="X176" s="7"/>
      <c r="Y176" s="7"/>
      <c r="Z176" s="7"/>
    </row>
    <row r="177" spans="1:26" ht="15.75" customHeight="1">
      <c r="A177" s="7"/>
      <c r="B177" s="7"/>
      <c r="C177" s="29"/>
      <c r="D177" s="30"/>
      <c r="E177" s="30"/>
      <c r="F177" s="30"/>
      <c r="G177" s="30"/>
      <c r="H177" s="30"/>
      <c r="I177" s="7"/>
      <c r="J177" s="7"/>
      <c r="K177" s="7"/>
      <c r="L177" s="7"/>
      <c r="M177" s="7"/>
      <c r="N177" s="7"/>
      <c r="O177" s="7"/>
      <c r="P177" s="7"/>
      <c r="Q177" s="7"/>
      <c r="R177" s="7"/>
      <c r="S177" s="7"/>
      <c r="T177" s="7"/>
      <c r="U177" s="7"/>
      <c r="V177" s="7"/>
      <c r="W177" s="7"/>
      <c r="X177" s="7"/>
      <c r="Y177" s="7"/>
      <c r="Z177" s="7"/>
    </row>
    <row r="178" spans="1:26" ht="15.75" customHeight="1">
      <c r="A178" s="7"/>
      <c r="B178" s="7"/>
      <c r="C178" s="29"/>
      <c r="D178" s="30"/>
      <c r="E178" s="30"/>
      <c r="F178" s="30"/>
      <c r="G178" s="30"/>
      <c r="H178" s="30"/>
      <c r="I178" s="7"/>
      <c r="J178" s="7"/>
      <c r="K178" s="7"/>
      <c r="L178" s="7"/>
      <c r="M178" s="7"/>
      <c r="N178" s="7"/>
      <c r="O178" s="7"/>
      <c r="P178" s="7"/>
      <c r="Q178" s="7"/>
      <c r="R178" s="7"/>
      <c r="S178" s="7"/>
      <c r="T178" s="7"/>
      <c r="U178" s="7"/>
      <c r="V178" s="7"/>
      <c r="W178" s="7"/>
      <c r="X178" s="7"/>
      <c r="Y178" s="7"/>
      <c r="Z178" s="7"/>
    </row>
    <row r="179" spans="1:26" ht="15.75" customHeight="1">
      <c r="A179" s="7"/>
      <c r="B179" s="7"/>
      <c r="C179" s="29"/>
      <c r="D179" s="30"/>
      <c r="E179" s="30"/>
      <c r="F179" s="30"/>
      <c r="G179" s="30"/>
      <c r="H179" s="30"/>
      <c r="I179" s="7"/>
      <c r="J179" s="7"/>
      <c r="K179" s="7"/>
      <c r="L179" s="7"/>
      <c r="M179" s="7"/>
      <c r="N179" s="7"/>
      <c r="O179" s="7"/>
      <c r="P179" s="7"/>
      <c r="Q179" s="7"/>
      <c r="R179" s="7"/>
      <c r="S179" s="7"/>
      <c r="T179" s="7"/>
      <c r="U179" s="7"/>
      <c r="V179" s="7"/>
      <c r="W179" s="7"/>
      <c r="X179" s="7"/>
      <c r="Y179" s="7"/>
      <c r="Z179" s="7"/>
    </row>
    <row r="180" spans="1:26" ht="15.75" customHeight="1">
      <c r="A180" s="7"/>
      <c r="B180" s="7"/>
      <c r="C180" s="29"/>
      <c r="D180" s="30"/>
      <c r="E180" s="30"/>
      <c r="F180" s="30"/>
      <c r="G180" s="30"/>
      <c r="H180" s="30"/>
      <c r="I180" s="7"/>
      <c r="J180" s="7"/>
      <c r="K180" s="7"/>
      <c r="L180" s="7"/>
      <c r="M180" s="7"/>
      <c r="N180" s="7"/>
      <c r="O180" s="7"/>
      <c r="P180" s="7"/>
      <c r="Q180" s="7"/>
      <c r="R180" s="7"/>
      <c r="S180" s="7"/>
      <c r="T180" s="7"/>
      <c r="U180" s="7"/>
      <c r="V180" s="7"/>
      <c r="W180" s="7"/>
      <c r="X180" s="7"/>
      <c r="Y180" s="7"/>
      <c r="Z180" s="7"/>
    </row>
    <row r="181" spans="1:26" ht="15.75" customHeight="1">
      <c r="A181" s="7"/>
      <c r="B181" s="7"/>
      <c r="C181" s="29"/>
      <c r="D181" s="30"/>
      <c r="E181" s="30"/>
      <c r="F181" s="30"/>
      <c r="G181" s="30"/>
      <c r="H181" s="30"/>
      <c r="I181" s="7"/>
      <c r="J181" s="7"/>
      <c r="K181" s="7"/>
      <c r="L181" s="7"/>
      <c r="M181" s="7"/>
      <c r="N181" s="7"/>
      <c r="O181" s="7"/>
      <c r="P181" s="7"/>
      <c r="Q181" s="7"/>
      <c r="R181" s="7"/>
      <c r="S181" s="7"/>
      <c r="T181" s="7"/>
      <c r="U181" s="7"/>
      <c r="V181" s="7"/>
      <c r="W181" s="7"/>
      <c r="X181" s="7"/>
      <c r="Y181" s="7"/>
      <c r="Z181" s="7"/>
    </row>
    <row r="182" spans="1:26" ht="15.75" customHeight="1">
      <c r="A182" s="7"/>
      <c r="B182" s="7"/>
      <c r="C182" s="29"/>
      <c r="D182" s="30"/>
      <c r="E182" s="30"/>
      <c r="F182" s="30"/>
      <c r="G182" s="30"/>
      <c r="H182" s="30"/>
      <c r="I182" s="7"/>
      <c r="J182" s="7"/>
      <c r="K182" s="7"/>
      <c r="L182" s="7"/>
      <c r="M182" s="7"/>
      <c r="N182" s="7"/>
      <c r="O182" s="7"/>
      <c r="P182" s="7"/>
      <c r="Q182" s="7"/>
      <c r="R182" s="7"/>
      <c r="S182" s="7"/>
      <c r="T182" s="7"/>
      <c r="U182" s="7"/>
      <c r="V182" s="7"/>
      <c r="W182" s="7"/>
      <c r="X182" s="7"/>
      <c r="Y182" s="7"/>
      <c r="Z182" s="7"/>
    </row>
    <row r="183" spans="1:26" ht="15.75" customHeight="1">
      <c r="A183" s="7"/>
      <c r="B183" s="7"/>
      <c r="C183" s="29"/>
      <c r="D183" s="30"/>
      <c r="E183" s="30"/>
      <c r="F183" s="30"/>
      <c r="G183" s="30"/>
      <c r="H183" s="30"/>
      <c r="I183" s="7"/>
      <c r="J183" s="7"/>
      <c r="K183" s="7"/>
      <c r="L183" s="7"/>
      <c r="M183" s="7"/>
      <c r="N183" s="7"/>
      <c r="O183" s="7"/>
      <c r="P183" s="7"/>
      <c r="Q183" s="7"/>
      <c r="R183" s="7"/>
      <c r="S183" s="7"/>
      <c r="T183" s="7"/>
      <c r="U183" s="7"/>
      <c r="V183" s="7"/>
      <c r="W183" s="7"/>
      <c r="X183" s="7"/>
      <c r="Y183" s="7"/>
      <c r="Z183" s="7"/>
    </row>
    <row r="184" spans="1:26" ht="15.75" customHeight="1">
      <c r="A184" s="7"/>
      <c r="B184" s="7"/>
      <c r="C184" s="29"/>
      <c r="D184" s="30"/>
      <c r="E184" s="30"/>
      <c r="F184" s="30"/>
      <c r="G184" s="30"/>
      <c r="H184" s="30"/>
      <c r="I184" s="7"/>
      <c r="J184" s="7"/>
      <c r="K184" s="7"/>
      <c r="L184" s="7"/>
      <c r="M184" s="7"/>
      <c r="N184" s="7"/>
      <c r="O184" s="7"/>
      <c r="P184" s="7"/>
      <c r="Q184" s="7"/>
      <c r="R184" s="7"/>
      <c r="S184" s="7"/>
      <c r="T184" s="7"/>
      <c r="U184" s="7"/>
      <c r="V184" s="7"/>
      <c r="W184" s="7"/>
      <c r="X184" s="7"/>
      <c r="Y184" s="7"/>
      <c r="Z184" s="7"/>
    </row>
    <row r="185" spans="1:26" ht="15.75" customHeight="1">
      <c r="A185" s="7"/>
      <c r="B185" s="7"/>
      <c r="C185" s="29"/>
      <c r="D185" s="30"/>
      <c r="E185" s="30"/>
      <c r="F185" s="30"/>
      <c r="G185" s="30"/>
      <c r="H185" s="30"/>
      <c r="I185" s="7"/>
      <c r="J185" s="7"/>
      <c r="K185" s="7"/>
      <c r="L185" s="7"/>
      <c r="M185" s="7"/>
      <c r="N185" s="7"/>
      <c r="O185" s="7"/>
      <c r="P185" s="7"/>
      <c r="Q185" s="7"/>
      <c r="R185" s="7"/>
      <c r="S185" s="7"/>
      <c r="T185" s="7"/>
      <c r="U185" s="7"/>
      <c r="V185" s="7"/>
      <c r="W185" s="7"/>
      <c r="X185" s="7"/>
      <c r="Y185" s="7"/>
      <c r="Z185" s="7"/>
    </row>
    <row r="186" spans="1:26" ht="15.75" customHeight="1">
      <c r="A186" s="7"/>
      <c r="B186" s="7"/>
      <c r="C186" s="29"/>
      <c r="D186" s="30"/>
      <c r="E186" s="30"/>
      <c r="F186" s="30"/>
      <c r="G186" s="30"/>
      <c r="H186" s="30"/>
      <c r="I186" s="7"/>
      <c r="J186" s="7"/>
      <c r="K186" s="7"/>
      <c r="L186" s="7"/>
      <c r="M186" s="7"/>
      <c r="N186" s="7"/>
      <c r="O186" s="7"/>
      <c r="P186" s="7"/>
      <c r="Q186" s="7"/>
      <c r="R186" s="7"/>
      <c r="S186" s="7"/>
      <c r="T186" s="7"/>
      <c r="U186" s="7"/>
      <c r="V186" s="7"/>
      <c r="W186" s="7"/>
      <c r="X186" s="7"/>
      <c r="Y186" s="7"/>
      <c r="Z186" s="7"/>
    </row>
    <row r="187" spans="1:26" ht="15.75" customHeight="1">
      <c r="A187" s="7"/>
      <c r="B187" s="7"/>
      <c r="C187" s="29"/>
      <c r="D187" s="30"/>
      <c r="E187" s="30"/>
      <c r="F187" s="30"/>
      <c r="G187" s="30"/>
      <c r="H187" s="30"/>
      <c r="I187" s="7"/>
      <c r="J187" s="7"/>
      <c r="K187" s="7"/>
      <c r="L187" s="7"/>
      <c r="M187" s="7"/>
      <c r="N187" s="7"/>
      <c r="O187" s="7"/>
      <c r="P187" s="7"/>
      <c r="Q187" s="7"/>
      <c r="R187" s="7"/>
      <c r="S187" s="7"/>
      <c r="T187" s="7"/>
      <c r="U187" s="7"/>
      <c r="V187" s="7"/>
      <c r="W187" s="7"/>
      <c r="X187" s="7"/>
      <c r="Y187" s="7"/>
      <c r="Z187" s="7"/>
    </row>
    <row r="188" spans="1:26" ht="15.75" customHeight="1">
      <c r="A188" s="7"/>
      <c r="B188" s="7"/>
      <c r="C188" s="29"/>
      <c r="D188" s="30"/>
      <c r="E188" s="30"/>
      <c r="F188" s="30"/>
      <c r="G188" s="30"/>
      <c r="H188" s="30"/>
      <c r="I188" s="7"/>
      <c r="J188" s="7"/>
      <c r="K188" s="7"/>
      <c r="L188" s="7"/>
      <c r="M188" s="7"/>
      <c r="N188" s="7"/>
      <c r="O188" s="7"/>
      <c r="P188" s="7"/>
      <c r="Q188" s="7"/>
      <c r="R188" s="7"/>
      <c r="S188" s="7"/>
      <c r="T188" s="7"/>
      <c r="U188" s="7"/>
      <c r="V188" s="7"/>
      <c r="W188" s="7"/>
      <c r="X188" s="7"/>
      <c r="Y188" s="7"/>
      <c r="Z188" s="7"/>
    </row>
    <row r="189" spans="1:26" ht="15.75" customHeight="1">
      <c r="A189" s="7"/>
      <c r="B189" s="7"/>
      <c r="C189" s="29"/>
      <c r="D189" s="30"/>
      <c r="E189" s="30"/>
      <c r="F189" s="30"/>
      <c r="G189" s="30"/>
      <c r="H189" s="30"/>
      <c r="I189" s="7"/>
      <c r="J189" s="7"/>
      <c r="K189" s="7"/>
      <c r="L189" s="7"/>
      <c r="M189" s="7"/>
      <c r="N189" s="7"/>
      <c r="O189" s="7"/>
      <c r="P189" s="7"/>
      <c r="Q189" s="7"/>
      <c r="R189" s="7"/>
      <c r="S189" s="7"/>
      <c r="T189" s="7"/>
      <c r="U189" s="7"/>
      <c r="V189" s="7"/>
      <c r="W189" s="7"/>
      <c r="X189" s="7"/>
      <c r="Y189" s="7"/>
      <c r="Z189" s="7"/>
    </row>
    <row r="190" spans="1:26" ht="15.75" customHeight="1">
      <c r="A190" s="7"/>
      <c r="B190" s="7"/>
      <c r="C190" s="29"/>
      <c r="D190" s="30"/>
      <c r="E190" s="30"/>
      <c r="F190" s="30"/>
      <c r="G190" s="30"/>
      <c r="H190" s="30"/>
      <c r="I190" s="7"/>
      <c r="J190" s="7"/>
      <c r="K190" s="7"/>
      <c r="L190" s="7"/>
      <c r="M190" s="7"/>
      <c r="N190" s="7"/>
      <c r="O190" s="7"/>
      <c r="P190" s="7"/>
      <c r="Q190" s="7"/>
      <c r="R190" s="7"/>
      <c r="S190" s="7"/>
      <c r="T190" s="7"/>
      <c r="U190" s="7"/>
      <c r="V190" s="7"/>
      <c r="W190" s="7"/>
      <c r="X190" s="7"/>
      <c r="Y190" s="7"/>
      <c r="Z190" s="7"/>
    </row>
    <row r="191" spans="1:26" ht="15.75" customHeight="1">
      <c r="A191" s="7"/>
      <c r="B191" s="7"/>
      <c r="C191" s="29"/>
      <c r="D191" s="30"/>
      <c r="E191" s="30"/>
      <c r="F191" s="30"/>
      <c r="G191" s="30"/>
      <c r="H191" s="30"/>
      <c r="I191" s="7"/>
      <c r="J191" s="7"/>
      <c r="K191" s="7"/>
      <c r="L191" s="7"/>
      <c r="M191" s="7"/>
      <c r="N191" s="7"/>
      <c r="O191" s="7"/>
      <c r="P191" s="7"/>
      <c r="Q191" s="7"/>
      <c r="R191" s="7"/>
      <c r="S191" s="7"/>
      <c r="T191" s="7"/>
      <c r="U191" s="7"/>
      <c r="V191" s="7"/>
      <c r="W191" s="7"/>
      <c r="X191" s="7"/>
      <c r="Y191" s="7"/>
      <c r="Z191" s="7"/>
    </row>
    <row r="192" spans="1:26" ht="15.75" customHeight="1">
      <c r="A192" s="7"/>
      <c r="B192" s="7"/>
      <c r="C192" s="29"/>
      <c r="D192" s="30"/>
      <c r="E192" s="30"/>
      <c r="F192" s="30"/>
      <c r="G192" s="30"/>
      <c r="H192" s="30"/>
      <c r="I192" s="7"/>
      <c r="J192" s="7"/>
      <c r="K192" s="7"/>
      <c r="L192" s="7"/>
      <c r="M192" s="7"/>
      <c r="N192" s="7"/>
      <c r="O192" s="7"/>
      <c r="P192" s="7"/>
      <c r="Q192" s="7"/>
      <c r="R192" s="7"/>
      <c r="S192" s="7"/>
      <c r="T192" s="7"/>
      <c r="U192" s="7"/>
      <c r="V192" s="7"/>
      <c r="W192" s="7"/>
      <c r="X192" s="7"/>
      <c r="Y192" s="7"/>
      <c r="Z192" s="7"/>
    </row>
    <row r="193" spans="1:26" ht="15.75" customHeight="1">
      <c r="A193" s="7"/>
      <c r="B193" s="7"/>
      <c r="C193" s="29"/>
      <c r="D193" s="30"/>
      <c r="E193" s="30"/>
      <c r="F193" s="30"/>
      <c r="G193" s="30"/>
      <c r="H193" s="30"/>
      <c r="I193" s="7"/>
      <c r="J193" s="7"/>
      <c r="K193" s="7"/>
      <c r="L193" s="7"/>
      <c r="M193" s="7"/>
      <c r="N193" s="7"/>
      <c r="O193" s="7"/>
      <c r="P193" s="7"/>
      <c r="Q193" s="7"/>
      <c r="R193" s="7"/>
      <c r="S193" s="7"/>
      <c r="T193" s="7"/>
      <c r="U193" s="7"/>
      <c r="V193" s="7"/>
      <c r="W193" s="7"/>
      <c r="X193" s="7"/>
      <c r="Y193" s="7"/>
      <c r="Z193" s="7"/>
    </row>
    <row r="194" spans="1:26" ht="15.75" customHeight="1">
      <c r="A194" s="7"/>
      <c r="B194" s="7"/>
      <c r="C194" s="29"/>
      <c r="D194" s="30"/>
      <c r="E194" s="30"/>
      <c r="F194" s="30"/>
      <c r="G194" s="30"/>
      <c r="H194" s="30"/>
      <c r="I194" s="7"/>
      <c r="J194" s="7"/>
      <c r="K194" s="7"/>
      <c r="L194" s="7"/>
      <c r="M194" s="7"/>
      <c r="N194" s="7"/>
      <c r="O194" s="7"/>
      <c r="P194" s="7"/>
      <c r="Q194" s="7"/>
      <c r="R194" s="7"/>
      <c r="S194" s="7"/>
      <c r="T194" s="7"/>
      <c r="U194" s="7"/>
      <c r="V194" s="7"/>
      <c r="W194" s="7"/>
      <c r="X194" s="7"/>
      <c r="Y194" s="7"/>
      <c r="Z194" s="7"/>
    </row>
    <row r="195" spans="1:26" ht="15.75" customHeight="1">
      <c r="A195" s="7"/>
      <c r="B195" s="7"/>
      <c r="C195" s="29"/>
      <c r="D195" s="30"/>
      <c r="E195" s="30"/>
      <c r="F195" s="30"/>
      <c r="G195" s="30"/>
      <c r="H195" s="30"/>
      <c r="I195" s="7"/>
      <c r="J195" s="7"/>
      <c r="K195" s="7"/>
      <c r="L195" s="7"/>
      <c r="M195" s="7"/>
      <c r="N195" s="7"/>
      <c r="O195" s="7"/>
      <c r="P195" s="7"/>
      <c r="Q195" s="7"/>
      <c r="R195" s="7"/>
      <c r="S195" s="7"/>
      <c r="T195" s="7"/>
      <c r="U195" s="7"/>
      <c r="V195" s="7"/>
      <c r="W195" s="7"/>
      <c r="X195" s="7"/>
      <c r="Y195" s="7"/>
      <c r="Z195" s="7"/>
    </row>
    <row r="196" spans="1:26" ht="15.75" customHeight="1">
      <c r="A196" s="7"/>
      <c r="B196" s="7"/>
      <c r="C196" s="29"/>
      <c r="D196" s="30"/>
      <c r="E196" s="30"/>
      <c r="F196" s="30"/>
      <c r="G196" s="30"/>
      <c r="H196" s="30"/>
      <c r="I196" s="7"/>
      <c r="J196" s="7"/>
      <c r="K196" s="7"/>
      <c r="L196" s="7"/>
      <c r="M196" s="7"/>
      <c r="N196" s="7"/>
      <c r="O196" s="7"/>
      <c r="P196" s="7"/>
      <c r="Q196" s="7"/>
      <c r="R196" s="7"/>
      <c r="S196" s="7"/>
      <c r="T196" s="7"/>
      <c r="U196" s="7"/>
      <c r="V196" s="7"/>
      <c r="W196" s="7"/>
      <c r="X196" s="7"/>
      <c r="Y196" s="7"/>
      <c r="Z196" s="7"/>
    </row>
    <row r="197" spans="1:26" ht="15.75" customHeight="1">
      <c r="A197" s="7"/>
      <c r="B197" s="7"/>
      <c r="C197" s="29"/>
      <c r="D197" s="30"/>
      <c r="E197" s="30"/>
      <c r="F197" s="30"/>
      <c r="G197" s="30"/>
      <c r="H197" s="30"/>
      <c r="I197" s="7"/>
      <c r="J197" s="7"/>
      <c r="K197" s="7"/>
      <c r="L197" s="7"/>
      <c r="M197" s="7"/>
      <c r="N197" s="7"/>
      <c r="O197" s="7"/>
      <c r="P197" s="7"/>
      <c r="Q197" s="7"/>
      <c r="R197" s="7"/>
      <c r="S197" s="7"/>
      <c r="T197" s="7"/>
      <c r="U197" s="7"/>
      <c r="V197" s="7"/>
      <c r="W197" s="7"/>
      <c r="X197" s="7"/>
      <c r="Y197" s="7"/>
      <c r="Z197" s="7"/>
    </row>
    <row r="198" spans="1:26" ht="15.75" customHeight="1">
      <c r="A198" s="7"/>
      <c r="B198" s="7"/>
      <c r="C198" s="29"/>
      <c r="D198" s="30"/>
      <c r="E198" s="30"/>
      <c r="F198" s="30"/>
      <c r="G198" s="30"/>
      <c r="H198" s="30"/>
      <c r="I198" s="7"/>
      <c r="J198" s="7"/>
      <c r="K198" s="7"/>
      <c r="L198" s="7"/>
      <c r="M198" s="7"/>
      <c r="N198" s="7"/>
      <c r="O198" s="7"/>
      <c r="P198" s="7"/>
      <c r="Q198" s="7"/>
      <c r="R198" s="7"/>
      <c r="S198" s="7"/>
      <c r="T198" s="7"/>
      <c r="U198" s="7"/>
      <c r="V198" s="7"/>
      <c r="W198" s="7"/>
      <c r="X198" s="7"/>
      <c r="Y198" s="7"/>
      <c r="Z198" s="7"/>
    </row>
    <row r="199" spans="1:26" ht="15.75" customHeight="1">
      <c r="A199" s="7"/>
      <c r="B199" s="7"/>
      <c r="C199" s="29"/>
      <c r="D199" s="30"/>
      <c r="E199" s="30"/>
      <c r="F199" s="30"/>
      <c r="G199" s="30"/>
      <c r="H199" s="30"/>
      <c r="I199" s="7"/>
      <c r="J199" s="7"/>
      <c r="K199" s="7"/>
      <c r="L199" s="7"/>
      <c r="M199" s="7"/>
      <c r="N199" s="7"/>
      <c r="O199" s="7"/>
      <c r="P199" s="7"/>
      <c r="Q199" s="7"/>
      <c r="R199" s="7"/>
      <c r="S199" s="7"/>
      <c r="T199" s="7"/>
      <c r="U199" s="7"/>
      <c r="V199" s="7"/>
      <c r="W199" s="7"/>
      <c r="X199" s="7"/>
      <c r="Y199" s="7"/>
      <c r="Z199" s="7"/>
    </row>
    <row r="200" spans="1:26" ht="15.75" customHeight="1">
      <c r="A200" s="7"/>
      <c r="B200" s="7"/>
      <c r="C200" s="29"/>
      <c r="D200" s="30"/>
      <c r="E200" s="30"/>
      <c r="F200" s="30"/>
      <c r="G200" s="30"/>
      <c r="H200" s="30"/>
      <c r="I200" s="7"/>
      <c r="J200" s="7"/>
      <c r="K200" s="7"/>
      <c r="L200" s="7"/>
      <c r="M200" s="7"/>
      <c r="N200" s="7"/>
      <c r="O200" s="7"/>
      <c r="P200" s="7"/>
      <c r="Q200" s="7"/>
      <c r="R200" s="7"/>
      <c r="S200" s="7"/>
      <c r="T200" s="7"/>
      <c r="U200" s="7"/>
      <c r="V200" s="7"/>
      <c r="W200" s="7"/>
      <c r="X200" s="7"/>
      <c r="Y200" s="7"/>
      <c r="Z200" s="7"/>
    </row>
    <row r="201" spans="1:26" ht="15.75" customHeight="1">
      <c r="A201" s="7"/>
      <c r="B201" s="7"/>
      <c r="C201" s="29"/>
      <c r="D201" s="30"/>
      <c r="E201" s="30"/>
      <c r="F201" s="30"/>
      <c r="G201" s="30"/>
      <c r="H201" s="30"/>
      <c r="I201" s="7"/>
      <c r="J201" s="7"/>
      <c r="K201" s="7"/>
      <c r="L201" s="7"/>
      <c r="M201" s="7"/>
      <c r="N201" s="7"/>
      <c r="O201" s="7"/>
      <c r="P201" s="7"/>
      <c r="Q201" s="7"/>
      <c r="R201" s="7"/>
      <c r="S201" s="7"/>
      <c r="T201" s="7"/>
      <c r="U201" s="7"/>
      <c r="V201" s="7"/>
      <c r="W201" s="7"/>
      <c r="X201" s="7"/>
      <c r="Y201" s="7"/>
      <c r="Z201" s="7"/>
    </row>
    <row r="202" spans="1:26" ht="15.75" customHeight="1">
      <c r="A202" s="7"/>
      <c r="B202" s="7"/>
      <c r="C202" s="29"/>
      <c r="D202" s="30"/>
      <c r="E202" s="30"/>
      <c r="F202" s="30"/>
      <c r="G202" s="30"/>
      <c r="H202" s="30"/>
      <c r="I202" s="7"/>
      <c r="J202" s="7"/>
      <c r="K202" s="7"/>
      <c r="L202" s="7"/>
      <c r="M202" s="7"/>
      <c r="N202" s="7"/>
      <c r="O202" s="7"/>
      <c r="P202" s="7"/>
      <c r="Q202" s="7"/>
      <c r="R202" s="7"/>
      <c r="S202" s="7"/>
      <c r="T202" s="7"/>
      <c r="U202" s="7"/>
      <c r="V202" s="7"/>
      <c r="W202" s="7"/>
      <c r="X202" s="7"/>
      <c r="Y202" s="7"/>
      <c r="Z202" s="7"/>
    </row>
    <row r="203" spans="1:26" ht="15.75" customHeight="1">
      <c r="A203" s="7"/>
      <c r="B203" s="7"/>
      <c r="C203" s="29"/>
      <c r="D203" s="30"/>
      <c r="E203" s="30"/>
      <c r="F203" s="30"/>
      <c r="G203" s="30"/>
      <c r="H203" s="30"/>
      <c r="I203" s="7"/>
      <c r="J203" s="7"/>
      <c r="K203" s="7"/>
      <c r="L203" s="7"/>
      <c r="M203" s="7"/>
      <c r="N203" s="7"/>
      <c r="O203" s="7"/>
      <c r="P203" s="7"/>
      <c r="Q203" s="7"/>
      <c r="R203" s="7"/>
      <c r="S203" s="7"/>
      <c r="T203" s="7"/>
      <c r="U203" s="7"/>
      <c r="V203" s="7"/>
      <c r="W203" s="7"/>
      <c r="X203" s="7"/>
      <c r="Y203" s="7"/>
      <c r="Z203" s="7"/>
    </row>
    <row r="204" spans="1:26" ht="15.75" customHeight="1">
      <c r="A204" s="7"/>
      <c r="B204" s="7"/>
      <c r="C204" s="29"/>
      <c r="D204" s="30"/>
      <c r="E204" s="30"/>
      <c r="F204" s="30"/>
      <c r="G204" s="30"/>
      <c r="H204" s="30"/>
      <c r="I204" s="7"/>
      <c r="J204" s="7"/>
      <c r="K204" s="7"/>
      <c r="L204" s="7"/>
      <c r="M204" s="7"/>
      <c r="N204" s="7"/>
      <c r="O204" s="7"/>
      <c r="P204" s="7"/>
      <c r="Q204" s="7"/>
      <c r="R204" s="7"/>
      <c r="S204" s="7"/>
      <c r="T204" s="7"/>
      <c r="U204" s="7"/>
      <c r="V204" s="7"/>
      <c r="W204" s="7"/>
      <c r="X204" s="7"/>
      <c r="Y204" s="7"/>
      <c r="Z204" s="7"/>
    </row>
    <row r="205" spans="1:26" ht="15.75" customHeight="1">
      <c r="A205" s="7"/>
      <c r="B205" s="7"/>
      <c r="C205" s="29"/>
      <c r="D205" s="30"/>
      <c r="E205" s="30"/>
      <c r="F205" s="30"/>
      <c r="G205" s="30"/>
      <c r="H205" s="30"/>
      <c r="I205" s="7"/>
      <c r="J205" s="7"/>
      <c r="K205" s="7"/>
      <c r="L205" s="7"/>
      <c r="M205" s="7"/>
      <c r="N205" s="7"/>
      <c r="O205" s="7"/>
      <c r="P205" s="7"/>
      <c r="Q205" s="7"/>
      <c r="R205" s="7"/>
      <c r="S205" s="7"/>
      <c r="T205" s="7"/>
      <c r="U205" s="7"/>
      <c r="V205" s="7"/>
      <c r="W205" s="7"/>
      <c r="X205" s="7"/>
      <c r="Y205" s="7"/>
      <c r="Z205" s="7"/>
    </row>
    <row r="206" spans="1:26" ht="15.75" customHeight="1">
      <c r="A206" s="7"/>
      <c r="B206" s="7"/>
      <c r="C206" s="29"/>
      <c r="D206" s="30"/>
      <c r="E206" s="30"/>
      <c r="F206" s="30"/>
      <c r="G206" s="30"/>
      <c r="H206" s="30"/>
      <c r="I206" s="7"/>
      <c r="J206" s="7"/>
      <c r="K206" s="7"/>
      <c r="L206" s="7"/>
      <c r="M206" s="7"/>
      <c r="N206" s="7"/>
      <c r="O206" s="7"/>
      <c r="P206" s="7"/>
      <c r="Q206" s="7"/>
      <c r="R206" s="7"/>
      <c r="S206" s="7"/>
      <c r="T206" s="7"/>
      <c r="U206" s="7"/>
      <c r="V206" s="7"/>
      <c r="W206" s="7"/>
      <c r="X206" s="7"/>
      <c r="Y206" s="7"/>
      <c r="Z206" s="7"/>
    </row>
    <row r="207" spans="1:26" ht="15.75" customHeight="1">
      <c r="A207" s="7"/>
      <c r="B207" s="7"/>
      <c r="C207" s="29"/>
      <c r="D207" s="30"/>
      <c r="E207" s="30"/>
      <c r="F207" s="30"/>
      <c r="G207" s="30"/>
      <c r="H207" s="30"/>
      <c r="I207" s="7"/>
      <c r="J207" s="7"/>
      <c r="K207" s="7"/>
      <c r="L207" s="7"/>
      <c r="M207" s="7"/>
      <c r="N207" s="7"/>
      <c r="O207" s="7"/>
      <c r="P207" s="7"/>
      <c r="Q207" s="7"/>
      <c r="R207" s="7"/>
      <c r="S207" s="7"/>
      <c r="T207" s="7"/>
      <c r="U207" s="7"/>
      <c r="V207" s="7"/>
      <c r="W207" s="7"/>
      <c r="X207" s="7"/>
      <c r="Y207" s="7"/>
      <c r="Z207" s="7"/>
    </row>
    <row r="208" spans="1:26" ht="15.75" customHeight="1">
      <c r="A208" s="7"/>
      <c r="B208" s="7"/>
      <c r="C208" s="29"/>
      <c r="D208" s="30"/>
      <c r="E208" s="30"/>
      <c r="F208" s="30"/>
      <c r="G208" s="30"/>
      <c r="H208" s="30"/>
      <c r="I208" s="7"/>
      <c r="J208" s="7"/>
      <c r="K208" s="7"/>
      <c r="L208" s="7"/>
      <c r="M208" s="7"/>
      <c r="N208" s="7"/>
      <c r="O208" s="7"/>
      <c r="P208" s="7"/>
      <c r="Q208" s="7"/>
      <c r="R208" s="7"/>
      <c r="S208" s="7"/>
      <c r="T208" s="7"/>
      <c r="U208" s="7"/>
      <c r="V208" s="7"/>
      <c r="W208" s="7"/>
      <c r="X208" s="7"/>
      <c r="Y208" s="7"/>
      <c r="Z208" s="7"/>
    </row>
    <row r="209" spans="1:26" ht="15.75" customHeight="1">
      <c r="A209" s="7"/>
      <c r="B209" s="7"/>
      <c r="C209" s="29"/>
      <c r="D209" s="30"/>
      <c r="E209" s="30"/>
      <c r="F209" s="30"/>
      <c r="G209" s="30"/>
      <c r="H209" s="30"/>
      <c r="I209" s="7"/>
      <c r="J209" s="7"/>
      <c r="K209" s="7"/>
      <c r="L209" s="7"/>
      <c r="M209" s="7"/>
      <c r="N209" s="7"/>
      <c r="O209" s="7"/>
      <c r="P209" s="7"/>
      <c r="Q209" s="7"/>
      <c r="R209" s="7"/>
      <c r="S209" s="7"/>
      <c r="T209" s="7"/>
      <c r="U209" s="7"/>
      <c r="V209" s="7"/>
      <c r="W209" s="7"/>
      <c r="X209" s="7"/>
      <c r="Y209" s="7"/>
      <c r="Z209" s="7"/>
    </row>
    <row r="210" spans="1:26" ht="15.75" customHeight="1">
      <c r="A210" s="7"/>
      <c r="B210" s="7"/>
      <c r="C210" s="29"/>
      <c r="D210" s="30"/>
      <c r="E210" s="30"/>
      <c r="F210" s="30"/>
      <c r="G210" s="30"/>
      <c r="H210" s="30"/>
      <c r="I210" s="7"/>
      <c r="J210" s="7"/>
      <c r="K210" s="7"/>
      <c r="L210" s="7"/>
      <c r="M210" s="7"/>
      <c r="N210" s="7"/>
      <c r="O210" s="7"/>
      <c r="P210" s="7"/>
      <c r="Q210" s="7"/>
      <c r="R210" s="7"/>
      <c r="S210" s="7"/>
      <c r="T210" s="7"/>
      <c r="U210" s="7"/>
      <c r="V210" s="7"/>
      <c r="W210" s="7"/>
      <c r="X210" s="7"/>
      <c r="Y210" s="7"/>
      <c r="Z210" s="7"/>
    </row>
    <row r="211" spans="1:26" ht="15.75" customHeight="1">
      <c r="A211" s="7"/>
      <c r="B211" s="7"/>
      <c r="C211" s="29"/>
      <c r="D211" s="30"/>
      <c r="E211" s="30"/>
      <c r="F211" s="30"/>
      <c r="G211" s="30"/>
      <c r="H211" s="30"/>
      <c r="I211" s="7"/>
      <c r="J211" s="7"/>
      <c r="K211" s="7"/>
      <c r="L211" s="7"/>
      <c r="M211" s="7"/>
      <c r="N211" s="7"/>
      <c r="O211" s="7"/>
      <c r="P211" s="7"/>
      <c r="Q211" s="7"/>
      <c r="R211" s="7"/>
      <c r="S211" s="7"/>
      <c r="T211" s="7"/>
      <c r="U211" s="7"/>
      <c r="V211" s="7"/>
      <c r="W211" s="7"/>
      <c r="X211" s="7"/>
      <c r="Y211" s="7"/>
      <c r="Z211" s="7"/>
    </row>
    <row r="212" spans="1:26" ht="15.75" customHeight="1">
      <c r="A212" s="7"/>
      <c r="B212" s="7"/>
      <c r="C212" s="29"/>
      <c r="D212" s="30"/>
      <c r="E212" s="30"/>
      <c r="F212" s="30"/>
      <c r="G212" s="30"/>
      <c r="H212" s="30"/>
      <c r="I212" s="7"/>
      <c r="J212" s="7"/>
      <c r="K212" s="7"/>
      <c r="L212" s="7"/>
      <c r="M212" s="7"/>
      <c r="N212" s="7"/>
      <c r="O212" s="7"/>
      <c r="P212" s="7"/>
      <c r="Q212" s="7"/>
      <c r="R212" s="7"/>
      <c r="S212" s="7"/>
      <c r="T212" s="7"/>
      <c r="U212" s="7"/>
      <c r="V212" s="7"/>
      <c r="W212" s="7"/>
      <c r="X212" s="7"/>
      <c r="Y212" s="7"/>
      <c r="Z212" s="7"/>
    </row>
    <row r="213" spans="1:26" ht="15.75" customHeight="1">
      <c r="A213" s="7"/>
      <c r="B213" s="7"/>
      <c r="C213" s="29"/>
      <c r="D213" s="30"/>
      <c r="E213" s="30"/>
      <c r="F213" s="30"/>
      <c r="G213" s="30"/>
      <c r="H213" s="30"/>
      <c r="I213" s="7"/>
      <c r="J213" s="7"/>
      <c r="K213" s="7"/>
      <c r="L213" s="7"/>
      <c r="M213" s="7"/>
      <c r="N213" s="7"/>
      <c r="O213" s="7"/>
      <c r="P213" s="7"/>
      <c r="Q213" s="7"/>
      <c r="R213" s="7"/>
      <c r="S213" s="7"/>
      <c r="T213" s="7"/>
      <c r="U213" s="7"/>
      <c r="V213" s="7"/>
      <c r="W213" s="7"/>
      <c r="X213" s="7"/>
      <c r="Y213" s="7"/>
      <c r="Z213" s="7"/>
    </row>
    <row r="214" spans="1:26" ht="15.75" customHeight="1">
      <c r="A214" s="7"/>
      <c r="B214" s="7"/>
      <c r="C214" s="29"/>
      <c r="D214" s="30"/>
      <c r="E214" s="30"/>
      <c r="F214" s="30"/>
      <c r="G214" s="30"/>
      <c r="H214" s="30"/>
      <c r="I214" s="7"/>
      <c r="J214" s="7"/>
      <c r="K214" s="7"/>
      <c r="L214" s="7"/>
      <c r="M214" s="7"/>
      <c r="N214" s="7"/>
      <c r="O214" s="7"/>
      <c r="P214" s="7"/>
      <c r="Q214" s="7"/>
      <c r="R214" s="7"/>
      <c r="S214" s="7"/>
      <c r="T214" s="7"/>
      <c r="U214" s="7"/>
      <c r="V214" s="7"/>
      <c r="W214" s="7"/>
      <c r="X214" s="7"/>
      <c r="Y214" s="7"/>
      <c r="Z214" s="7"/>
    </row>
    <row r="215" spans="1:26" ht="15.75" customHeight="1">
      <c r="A215" s="7"/>
      <c r="B215" s="7"/>
      <c r="C215" s="29"/>
      <c r="D215" s="30"/>
      <c r="E215" s="30"/>
      <c r="F215" s="30"/>
      <c r="G215" s="30"/>
      <c r="H215" s="30"/>
      <c r="I215" s="7"/>
      <c r="J215" s="7"/>
      <c r="K215" s="7"/>
      <c r="L215" s="7"/>
      <c r="M215" s="7"/>
      <c r="N215" s="7"/>
      <c r="O215" s="7"/>
      <c r="P215" s="7"/>
      <c r="Q215" s="7"/>
      <c r="R215" s="7"/>
      <c r="S215" s="7"/>
      <c r="T215" s="7"/>
      <c r="U215" s="7"/>
      <c r="V215" s="7"/>
      <c r="W215" s="7"/>
      <c r="X215" s="7"/>
      <c r="Y215" s="7"/>
      <c r="Z215" s="7"/>
    </row>
    <row r="216" spans="1:26" ht="15.75" customHeight="1">
      <c r="A216" s="7"/>
      <c r="B216" s="7"/>
      <c r="C216" s="29"/>
      <c r="D216" s="30"/>
      <c r="E216" s="30"/>
      <c r="F216" s="30"/>
      <c r="G216" s="30"/>
      <c r="H216" s="30"/>
      <c r="I216" s="7"/>
      <c r="J216" s="7"/>
      <c r="K216" s="7"/>
      <c r="L216" s="7"/>
      <c r="M216" s="7"/>
      <c r="N216" s="7"/>
      <c r="O216" s="7"/>
      <c r="P216" s="7"/>
      <c r="Q216" s="7"/>
      <c r="R216" s="7"/>
      <c r="S216" s="7"/>
      <c r="T216" s="7"/>
      <c r="U216" s="7"/>
      <c r="V216" s="7"/>
      <c r="W216" s="7"/>
      <c r="X216" s="7"/>
      <c r="Y216" s="7"/>
      <c r="Z216" s="7"/>
    </row>
    <row r="217" spans="1:26" ht="15.75" customHeight="1">
      <c r="A217" s="7"/>
      <c r="B217" s="7"/>
      <c r="C217" s="29"/>
      <c r="D217" s="30"/>
      <c r="E217" s="30"/>
      <c r="F217" s="30"/>
      <c r="G217" s="30"/>
      <c r="H217" s="30"/>
      <c r="I217" s="7"/>
      <c r="J217" s="7"/>
      <c r="K217" s="7"/>
      <c r="L217" s="7"/>
      <c r="M217" s="7"/>
      <c r="N217" s="7"/>
      <c r="O217" s="7"/>
      <c r="P217" s="7"/>
      <c r="Q217" s="7"/>
      <c r="R217" s="7"/>
      <c r="S217" s="7"/>
      <c r="T217" s="7"/>
      <c r="U217" s="7"/>
      <c r="V217" s="7"/>
      <c r="W217" s="7"/>
      <c r="X217" s="7"/>
      <c r="Y217" s="7"/>
      <c r="Z217" s="7"/>
    </row>
    <row r="218" spans="1:26" ht="15.75" customHeight="1">
      <c r="A218" s="7"/>
      <c r="B218" s="7"/>
      <c r="C218" s="29"/>
      <c r="D218" s="30"/>
      <c r="E218" s="30"/>
      <c r="F218" s="30"/>
      <c r="G218" s="30"/>
      <c r="H218" s="30"/>
      <c r="I218" s="7"/>
      <c r="J218" s="7"/>
      <c r="K218" s="7"/>
      <c r="L218" s="7"/>
      <c r="M218" s="7"/>
      <c r="N218" s="7"/>
      <c r="O218" s="7"/>
      <c r="P218" s="7"/>
      <c r="Q218" s="7"/>
      <c r="R218" s="7"/>
      <c r="S218" s="7"/>
      <c r="T218" s="7"/>
      <c r="U218" s="7"/>
      <c r="V218" s="7"/>
      <c r="W218" s="7"/>
      <c r="X218" s="7"/>
      <c r="Y218" s="7"/>
      <c r="Z218" s="7"/>
    </row>
    <row r="219" spans="1:26" ht="15.75" customHeight="1">
      <c r="A219" s="7"/>
      <c r="B219" s="7"/>
      <c r="C219" s="29"/>
      <c r="D219" s="30"/>
      <c r="E219" s="30"/>
      <c r="F219" s="30"/>
      <c r="G219" s="30"/>
      <c r="H219" s="30"/>
      <c r="I219" s="7"/>
      <c r="J219" s="7"/>
      <c r="K219" s="7"/>
      <c r="L219" s="7"/>
      <c r="M219" s="7"/>
      <c r="N219" s="7"/>
      <c r="O219" s="7"/>
      <c r="P219" s="7"/>
      <c r="Q219" s="7"/>
      <c r="R219" s="7"/>
      <c r="S219" s="7"/>
      <c r="T219" s="7"/>
      <c r="U219" s="7"/>
      <c r="V219" s="7"/>
      <c r="W219" s="7"/>
      <c r="X219" s="7"/>
      <c r="Y219" s="7"/>
      <c r="Z219" s="7"/>
    </row>
    <row r="220" spans="1:26" ht="15.75" customHeight="1">
      <c r="A220" s="7"/>
      <c r="B220" s="7"/>
      <c r="C220" s="29"/>
      <c r="D220" s="30"/>
      <c r="E220" s="30"/>
      <c r="F220" s="30"/>
      <c r="G220" s="30"/>
      <c r="H220" s="30"/>
      <c r="I220" s="7"/>
      <c r="J220" s="7"/>
      <c r="K220" s="7"/>
      <c r="L220" s="7"/>
      <c r="M220" s="7"/>
      <c r="N220" s="7"/>
      <c r="O220" s="7"/>
      <c r="P220" s="7"/>
      <c r="Q220" s="7"/>
      <c r="R220" s="7"/>
      <c r="S220" s="7"/>
      <c r="T220" s="7"/>
      <c r="U220" s="7"/>
      <c r="V220" s="7"/>
      <c r="W220" s="7"/>
      <c r="X220" s="7"/>
      <c r="Y220" s="7"/>
      <c r="Z220" s="7"/>
    </row>
    <row r="221" spans="1:26" ht="15.75" customHeight="1">
      <c r="A221" s="7"/>
      <c r="B221" s="7"/>
      <c r="C221" s="29"/>
      <c r="D221" s="30"/>
      <c r="E221" s="30"/>
      <c r="F221" s="30"/>
      <c r="G221" s="30"/>
      <c r="H221" s="30"/>
      <c r="I221" s="7"/>
      <c r="J221" s="7"/>
      <c r="K221" s="7"/>
      <c r="L221" s="7"/>
      <c r="M221" s="7"/>
      <c r="N221" s="7"/>
      <c r="O221" s="7"/>
      <c r="P221" s="7"/>
      <c r="Q221" s="7"/>
      <c r="R221" s="7"/>
      <c r="S221" s="7"/>
      <c r="T221" s="7"/>
      <c r="U221" s="7"/>
      <c r="V221" s="7"/>
      <c r="W221" s="7"/>
      <c r="X221" s="7"/>
      <c r="Y221" s="7"/>
      <c r="Z221" s="7"/>
    </row>
    <row r="222" spans="1:26" ht="15.75" customHeight="1">
      <c r="A222" s="7"/>
      <c r="B222" s="7"/>
      <c r="C222" s="29"/>
      <c r="D222" s="30"/>
      <c r="E222" s="30"/>
      <c r="F222" s="30"/>
      <c r="G222" s="30"/>
      <c r="H222" s="30"/>
      <c r="I222" s="7"/>
      <c r="J222" s="7"/>
      <c r="K222" s="7"/>
      <c r="L222" s="7"/>
      <c r="M222" s="7"/>
      <c r="N222" s="7"/>
      <c r="O222" s="7"/>
      <c r="P222" s="7"/>
      <c r="Q222" s="7"/>
      <c r="R222" s="7"/>
      <c r="S222" s="7"/>
      <c r="T222" s="7"/>
      <c r="U222" s="7"/>
      <c r="V222" s="7"/>
      <c r="W222" s="7"/>
      <c r="X222" s="7"/>
      <c r="Y222" s="7"/>
      <c r="Z222" s="7"/>
    </row>
    <row r="223" spans="1:26" ht="15.75" customHeight="1">
      <c r="A223" s="7"/>
      <c r="B223" s="7"/>
      <c r="C223" s="29"/>
      <c r="D223" s="30"/>
      <c r="E223" s="30"/>
      <c r="F223" s="30"/>
      <c r="G223" s="30"/>
      <c r="H223" s="30"/>
      <c r="I223" s="7"/>
      <c r="J223" s="7"/>
      <c r="K223" s="7"/>
      <c r="L223" s="7"/>
      <c r="M223" s="7"/>
      <c r="N223" s="7"/>
      <c r="O223" s="7"/>
      <c r="P223" s="7"/>
      <c r="Q223" s="7"/>
      <c r="R223" s="7"/>
      <c r="S223" s="7"/>
      <c r="T223" s="7"/>
      <c r="U223" s="7"/>
      <c r="V223" s="7"/>
      <c r="W223" s="7"/>
      <c r="X223" s="7"/>
      <c r="Y223" s="7"/>
      <c r="Z223" s="7"/>
    </row>
    <row r="224" spans="1:26" ht="15.75" customHeight="1">
      <c r="A224" s="7"/>
      <c r="B224" s="7"/>
      <c r="C224" s="29"/>
      <c r="D224" s="30"/>
      <c r="E224" s="30"/>
      <c r="F224" s="30"/>
      <c r="G224" s="30"/>
      <c r="H224" s="30"/>
      <c r="I224" s="7"/>
      <c r="J224" s="7"/>
      <c r="K224" s="7"/>
      <c r="L224" s="7"/>
      <c r="M224" s="7"/>
      <c r="N224" s="7"/>
      <c r="O224" s="7"/>
      <c r="P224" s="7"/>
      <c r="Q224" s="7"/>
      <c r="R224" s="7"/>
      <c r="S224" s="7"/>
      <c r="T224" s="7"/>
      <c r="U224" s="7"/>
      <c r="V224" s="7"/>
      <c r="W224" s="7"/>
      <c r="X224" s="7"/>
      <c r="Y224" s="7"/>
      <c r="Z224" s="7"/>
    </row>
    <row r="225" spans="1:26" ht="15.75" customHeight="1">
      <c r="A225" s="7"/>
      <c r="B225" s="7"/>
      <c r="C225" s="29"/>
      <c r="D225" s="30"/>
      <c r="E225" s="30"/>
      <c r="F225" s="30"/>
      <c r="G225" s="30"/>
      <c r="H225" s="30"/>
      <c r="I225" s="7"/>
      <c r="J225" s="7"/>
      <c r="K225" s="7"/>
      <c r="L225" s="7"/>
      <c r="M225" s="7"/>
      <c r="N225" s="7"/>
      <c r="O225" s="7"/>
      <c r="P225" s="7"/>
      <c r="Q225" s="7"/>
      <c r="R225" s="7"/>
      <c r="S225" s="7"/>
      <c r="T225" s="7"/>
      <c r="U225" s="7"/>
      <c r="V225" s="7"/>
      <c r="W225" s="7"/>
      <c r="X225" s="7"/>
      <c r="Y225" s="7"/>
      <c r="Z225" s="7"/>
    </row>
    <row r="226" spans="1:26" ht="15.75" customHeight="1">
      <c r="A226" s="7"/>
      <c r="B226" s="7"/>
      <c r="C226" s="29"/>
      <c r="D226" s="30"/>
      <c r="E226" s="30"/>
      <c r="F226" s="30"/>
      <c r="G226" s="30"/>
      <c r="H226" s="30"/>
      <c r="I226" s="7"/>
      <c r="J226" s="7"/>
      <c r="K226" s="7"/>
      <c r="L226" s="7"/>
      <c r="M226" s="7"/>
      <c r="N226" s="7"/>
      <c r="O226" s="7"/>
      <c r="P226" s="7"/>
      <c r="Q226" s="7"/>
      <c r="R226" s="7"/>
      <c r="S226" s="7"/>
      <c r="T226" s="7"/>
      <c r="U226" s="7"/>
      <c r="V226" s="7"/>
      <c r="W226" s="7"/>
      <c r="X226" s="7"/>
      <c r="Y226" s="7"/>
      <c r="Z226" s="7"/>
    </row>
    <row r="227" spans="1:26" ht="15.75" customHeight="1">
      <c r="A227" s="7"/>
      <c r="B227" s="7"/>
      <c r="C227" s="29"/>
      <c r="D227" s="30"/>
      <c r="E227" s="30"/>
      <c r="F227" s="30"/>
      <c r="G227" s="30"/>
      <c r="H227" s="30"/>
      <c r="I227" s="7"/>
      <c r="J227" s="7"/>
      <c r="K227" s="7"/>
      <c r="L227" s="7"/>
      <c r="M227" s="7"/>
      <c r="N227" s="7"/>
      <c r="O227" s="7"/>
      <c r="P227" s="7"/>
      <c r="Q227" s="7"/>
      <c r="R227" s="7"/>
      <c r="S227" s="7"/>
      <c r="T227" s="7"/>
      <c r="U227" s="7"/>
      <c r="V227" s="7"/>
      <c r="W227" s="7"/>
      <c r="X227" s="7"/>
      <c r="Y227" s="7"/>
      <c r="Z227" s="7"/>
    </row>
    <row r="228" spans="1:26" ht="15.75" customHeight="1">
      <c r="A228" s="7"/>
      <c r="B228" s="7"/>
      <c r="C228" s="29"/>
      <c r="D228" s="30"/>
      <c r="E228" s="30"/>
      <c r="F228" s="30"/>
      <c r="G228" s="30"/>
      <c r="H228" s="30"/>
      <c r="I228" s="7"/>
      <c r="J228" s="7"/>
      <c r="K228" s="7"/>
      <c r="L228" s="7"/>
      <c r="M228" s="7"/>
      <c r="N228" s="7"/>
      <c r="O228" s="7"/>
      <c r="P228" s="7"/>
      <c r="Q228" s="7"/>
      <c r="R228" s="7"/>
      <c r="S228" s="7"/>
      <c r="T228" s="7"/>
      <c r="U228" s="7"/>
      <c r="V228" s="7"/>
      <c r="W228" s="7"/>
      <c r="X228" s="7"/>
      <c r="Y228" s="7"/>
      <c r="Z228" s="7"/>
    </row>
    <row r="229" spans="1:26" ht="15.75" customHeight="1">
      <c r="A229" s="7"/>
      <c r="B229" s="7"/>
      <c r="C229" s="29"/>
      <c r="D229" s="30"/>
      <c r="E229" s="30"/>
      <c r="F229" s="30"/>
      <c r="G229" s="30"/>
      <c r="H229" s="30"/>
      <c r="I229" s="7"/>
      <c r="J229" s="7"/>
      <c r="K229" s="7"/>
      <c r="L229" s="7"/>
      <c r="M229" s="7"/>
      <c r="N229" s="7"/>
      <c r="O229" s="7"/>
      <c r="P229" s="7"/>
      <c r="Q229" s="7"/>
      <c r="R229" s="7"/>
      <c r="S229" s="7"/>
      <c r="T229" s="7"/>
      <c r="U229" s="7"/>
      <c r="V229" s="7"/>
      <c r="W229" s="7"/>
      <c r="X229" s="7"/>
      <c r="Y229" s="7"/>
      <c r="Z229" s="7"/>
    </row>
    <row r="230" spans="1:26" ht="15.75" customHeight="1">
      <c r="A230" s="7"/>
      <c r="B230" s="7"/>
      <c r="C230" s="29"/>
      <c r="D230" s="30"/>
      <c r="E230" s="30"/>
      <c r="F230" s="30"/>
      <c r="G230" s="30"/>
      <c r="H230" s="30"/>
      <c r="I230" s="7"/>
      <c r="J230" s="7"/>
      <c r="K230" s="7"/>
      <c r="L230" s="7"/>
      <c r="M230" s="7"/>
      <c r="N230" s="7"/>
      <c r="O230" s="7"/>
      <c r="P230" s="7"/>
      <c r="Q230" s="7"/>
      <c r="R230" s="7"/>
      <c r="S230" s="7"/>
      <c r="T230" s="7"/>
      <c r="U230" s="7"/>
      <c r="V230" s="7"/>
      <c r="W230" s="7"/>
      <c r="X230" s="7"/>
      <c r="Y230" s="7"/>
      <c r="Z230" s="7"/>
    </row>
    <row r="231" spans="1:26" ht="15.75" customHeight="1">
      <c r="A231" s="7"/>
      <c r="B231" s="7"/>
      <c r="C231" s="29"/>
      <c r="D231" s="30"/>
      <c r="E231" s="30"/>
      <c r="F231" s="30"/>
      <c r="G231" s="30"/>
      <c r="H231" s="30"/>
      <c r="I231" s="7"/>
      <c r="J231" s="7"/>
      <c r="K231" s="7"/>
      <c r="L231" s="7"/>
      <c r="M231" s="7"/>
      <c r="N231" s="7"/>
      <c r="O231" s="7"/>
      <c r="P231" s="7"/>
      <c r="Q231" s="7"/>
      <c r="R231" s="7"/>
      <c r="S231" s="7"/>
      <c r="T231" s="7"/>
      <c r="U231" s="7"/>
      <c r="V231" s="7"/>
      <c r="W231" s="7"/>
      <c r="X231" s="7"/>
      <c r="Y231" s="7"/>
      <c r="Z231" s="7"/>
    </row>
    <row r="232" spans="1:26" ht="15.75" customHeight="1">
      <c r="A232" s="7"/>
      <c r="B232" s="7"/>
      <c r="C232" s="29"/>
      <c r="D232" s="30"/>
      <c r="E232" s="30"/>
      <c r="F232" s="30"/>
      <c r="G232" s="30"/>
      <c r="H232" s="30"/>
      <c r="I232" s="7"/>
      <c r="J232" s="7"/>
      <c r="K232" s="7"/>
      <c r="L232" s="7"/>
      <c r="M232" s="7"/>
      <c r="N232" s="7"/>
      <c r="O232" s="7"/>
      <c r="P232" s="7"/>
      <c r="Q232" s="7"/>
      <c r="R232" s="7"/>
      <c r="S232" s="7"/>
      <c r="T232" s="7"/>
      <c r="U232" s="7"/>
      <c r="V232" s="7"/>
      <c r="W232" s="7"/>
      <c r="X232" s="7"/>
      <c r="Y232" s="7"/>
      <c r="Z232" s="7"/>
    </row>
    <row r="233" spans="1:26" ht="15.75" customHeight="1">
      <c r="A233" s="7"/>
      <c r="B233" s="7"/>
      <c r="C233" s="29"/>
      <c r="D233" s="30"/>
      <c r="E233" s="30"/>
      <c r="F233" s="30"/>
      <c r="G233" s="30"/>
      <c r="H233" s="30"/>
      <c r="I233" s="7"/>
      <c r="J233" s="7"/>
      <c r="K233" s="7"/>
      <c r="L233" s="7"/>
      <c r="M233" s="7"/>
      <c r="N233" s="7"/>
      <c r="O233" s="7"/>
      <c r="P233" s="7"/>
      <c r="Q233" s="7"/>
      <c r="R233" s="7"/>
      <c r="S233" s="7"/>
      <c r="T233" s="7"/>
      <c r="U233" s="7"/>
      <c r="V233" s="7"/>
      <c r="W233" s="7"/>
      <c r="X233" s="7"/>
      <c r="Y233" s="7"/>
      <c r="Z233" s="7"/>
    </row>
    <row r="234" spans="1:26" ht="15.75" customHeight="1">
      <c r="A234" s="7"/>
      <c r="B234" s="7"/>
      <c r="C234" s="29"/>
      <c r="D234" s="30"/>
      <c r="E234" s="30"/>
      <c r="F234" s="30"/>
      <c r="G234" s="30"/>
      <c r="H234" s="30"/>
      <c r="I234" s="7"/>
      <c r="J234" s="7"/>
      <c r="K234" s="7"/>
      <c r="L234" s="7"/>
      <c r="M234" s="7"/>
      <c r="N234" s="7"/>
      <c r="O234" s="7"/>
      <c r="P234" s="7"/>
      <c r="Q234" s="7"/>
      <c r="R234" s="7"/>
      <c r="S234" s="7"/>
      <c r="T234" s="7"/>
      <c r="U234" s="7"/>
      <c r="V234" s="7"/>
      <c r="W234" s="7"/>
      <c r="X234" s="7"/>
      <c r="Y234" s="7"/>
      <c r="Z234" s="7"/>
    </row>
    <row r="235" spans="1:26" ht="15.75" customHeight="1">
      <c r="A235" s="7"/>
      <c r="B235" s="7"/>
      <c r="C235" s="29"/>
      <c r="D235" s="30"/>
      <c r="E235" s="30"/>
      <c r="F235" s="30"/>
      <c r="G235" s="30"/>
      <c r="H235" s="30"/>
      <c r="I235" s="7"/>
      <c r="J235" s="7"/>
      <c r="K235" s="7"/>
      <c r="L235" s="7"/>
      <c r="M235" s="7"/>
      <c r="N235" s="7"/>
      <c r="O235" s="7"/>
      <c r="P235" s="7"/>
      <c r="Q235" s="7"/>
      <c r="R235" s="7"/>
      <c r="S235" s="7"/>
      <c r="T235" s="7"/>
      <c r="U235" s="7"/>
      <c r="V235" s="7"/>
      <c r="W235" s="7"/>
      <c r="X235" s="7"/>
      <c r="Y235" s="7"/>
      <c r="Z235" s="7"/>
    </row>
    <row r="236" spans="1:26" ht="15.75" customHeight="1">
      <c r="A236" s="7"/>
      <c r="B236" s="7"/>
      <c r="C236" s="29"/>
      <c r="D236" s="30"/>
      <c r="E236" s="30"/>
      <c r="F236" s="30"/>
      <c r="G236" s="30"/>
      <c r="H236" s="30"/>
      <c r="I236" s="7"/>
      <c r="J236" s="7"/>
      <c r="K236" s="7"/>
      <c r="L236" s="7"/>
      <c r="M236" s="7"/>
      <c r="N236" s="7"/>
      <c r="O236" s="7"/>
      <c r="P236" s="7"/>
      <c r="Q236" s="7"/>
      <c r="R236" s="7"/>
      <c r="S236" s="7"/>
      <c r="T236" s="7"/>
      <c r="U236" s="7"/>
      <c r="V236" s="7"/>
      <c r="W236" s="7"/>
      <c r="X236" s="7"/>
      <c r="Y236" s="7"/>
      <c r="Z236" s="7"/>
    </row>
    <row r="237" spans="1:26" ht="15.75" customHeight="1">
      <c r="A237" s="7"/>
      <c r="B237" s="7"/>
      <c r="C237" s="29"/>
      <c r="D237" s="30"/>
      <c r="E237" s="30"/>
      <c r="F237" s="30"/>
      <c r="G237" s="30"/>
      <c r="H237" s="30"/>
      <c r="I237" s="7"/>
      <c r="J237" s="7"/>
      <c r="K237" s="7"/>
      <c r="L237" s="7"/>
      <c r="M237" s="7"/>
      <c r="N237" s="7"/>
      <c r="O237" s="7"/>
      <c r="P237" s="7"/>
      <c r="Q237" s="7"/>
      <c r="R237" s="7"/>
      <c r="S237" s="7"/>
      <c r="T237" s="7"/>
      <c r="U237" s="7"/>
      <c r="V237" s="7"/>
      <c r="W237" s="7"/>
      <c r="X237" s="7"/>
      <c r="Y237" s="7"/>
      <c r="Z237" s="7"/>
    </row>
    <row r="238" spans="1:26" ht="15.75" customHeight="1">
      <c r="A238" s="7"/>
      <c r="B238" s="7"/>
      <c r="C238" s="29"/>
      <c r="D238" s="30"/>
      <c r="E238" s="30"/>
      <c r="F238" s="30"/>
      <c r="G238" s="30"/>
      <c r="H238" s="30"/>
      <c r="I238" s="7"/>
      <c r="J238" s="7"/>
      <c r="K238" s="7"/>
      <c r="L238" s="7"/>
      <c r="M238" s="7"/>
      <c r="N238" s="7"/>
      <c r="O238" s="7"/>
      <c r="P238" s="7"/>
      <c r="Q238" s="7"/>
      <c r="R238" s="7"/>
      <c r="S238" s="7"/>
      <c r="T238" s="7"/>
      <c r="U238" s="7"/>
      <c r="V238" s="7"/>
      <c r="W238" s="7"/>
      <c r="X238" s="7"/>
      <c r="Y238" s="7"/>
      <c r="Z238" s="7"/>
    </row>
    <row r="239" spans="1:26" ht="15.75" customHeight="1">
      <c r="A239" s="7"/>
      <c r="B239" s="7"/>
      <c r="C239" s="29"/>
      <c r="D239" s="30"/>
      <c r="E239" s="30"/>
      <c r="F239" s="30"/>
      <c r="G239" s="30"/>
      <c r="H239" s="30"/>
      <c r="I239" s="7"/>
      <c r="J239" s="7"/>
      <c r="K239" s="7"/>
      <c r="L239" s="7"/>
      <c r="M239" s="7"/>
      <c r="N239" s="7"/>
      <c r="O239" s="7"/>
      <c r="P239" s="7"/>
      <c r="Q239" s="7"/>
      <c r="R239" s="7"/>
      <c r="S239" s="7"/>
      <c r="T239" s="7"/>
      <c r="U239" s="7"/>
      <c r="V239" s="7"/>
      <c r="W239" s="7"/>
      <c r="X239" s="7"/>
      <c r="Y239" s="7"/>
      <c r="Z239" s="7"/>
    </row>
    <row r="240" spans="1:26" ht="15.75" customHeight="1">
      <c r="A240" s="7"/>
      <c r="B240" s="7"/>
      <c r="C240" s="29"/>
      <c r="D240" s="30"/>
      <c r="E240" s="30"/>
      <c r="F240" s="30"/>
      <c r="G240" s="30"/>
      <c r="H240" s="30"/>
      <c r="I240" s="7"/>
      <c r="J240" s="7"/>
      <c r="K240" s="7"/>
      <c r="L240" s="7"/>
      <c r="M240" s="7"/>
      <c r="N240" s="7"/>
      <c r="O240" s="7"/>
      <c r="P240" s="7"/>
      <c r="Q240" s="7"/>
      <c r="R240" s="7"/>
      <c r="S240" s="7"/>
      <c r="T240" s="7"/>
      <c r="U240" s="7"/>
      <c r="V240" s="7"/>
      <c r="W240" s="7"/>
      <c r="X240" s="7"/>
      <c r="Y240" s="7"/>
      <c r="Z240" s="7"/>
    </row>
    <row r="241" spans="1:26" ht="15.75" customHeight="1">
      <c r="A241" s="7"/>
      <c r="B241" s="7"/>
      <c r="C241" s="29"/>
      <c r="D241" s="30"/>
      <c r="E241" s="30"/>
      <c r="F241" s="30"/>
      <c r="G241" s="30"/>
      <c r="H241" s="30"/>
      <c r="I241" s="7"/>
      <c r="J241" s="7"/>
      <c r="K241" s="7"/>
      <c r="L241" s="7"/>
      <c r="M241" s="7"/>
      <c r="N241" s="7"/>
      <c r="O241" s="7"/>
      <c r="P241" s="7"/>
      <c r="Q241" s="7"/>
      <c r="R241" s="7"/>
      <c r="S241" s="7"/>
      <c r="T241" s="7"/>
      <c r="U241" s="7"/>
      <c r="V241" s="7"/>
      <c r="W241" s="7"/>
      <c r="X241" s="7"/>
      <c r="Y241" s="7"/>
      <c r="Z241" s="7"/>
    </row>
    <row r="242" spans="1:26" ht="15.75" customHeight="1">
      <c r="A242" s="7"/>
      <c r="B242" s="7"/>
      <c r="C242" s="29"/>
      <c r="D242" s="30"/>
      <c r="E242" s="30"/>
      <c r="F242" s="30"/>
      <c r="G242" s="30"/>
      <c r="H242" s="30"/>
      <c r="I242" s="7"/>
      <c r="J242" s="7"/>
      <c r="K242" s="7"/>
      <c r="L242" s="7"/>
      <c r="M242" s="7"/>
      <c r="N242" s="7"/>
      <c r="O242" s="7"/>
      <c r="P242" s="7"/>
      <c r="Q242" s="7"/>
      <c r="R242" s="7"/>
      <c r="S242" s="7"/>
      <c r="T242" s="7"/>
      <c r="U242" s="7"/>
      <c r="V242" s="7"/>
      <c r="W242" s="7"/>
      <c r="X242" s="7"/>
      <c r="Y242" s="7"/>
      <c r="Z242" s="7"/>
    </row>
    <row r="243" spans="1:26" ht="15.75" customHeight="1">
      <c r="A243" s="7"/>
      <c r="B243" s="7"/>
      <c r="C243" s="29"/>
      <c r="D243" s="30"/>
      <c r="E243" s="30"/>
      <c r="F243" s="30"/>
      <c r="G243" s="30"/>
      <c r="H243" s="30"/>
      <c r="I243" s="7"/>
      <c r="J243" s="7"/>
      <c r="K243" s="7"/>
      <c r="L243" s="7"/>
      <c r="M243" s="7"/>
      <c r="N243" s="7"/>
      <c r="O243" s="7"/>
      <c r="P243" s="7"/>
      <c r="Q243" s="7"/>
      <c r="R243" s="7"/>
      <c r="S243" s="7"/>
      <c r="T243" s="7"/>
      <c r="U243" s="7"/>
      <c r="V243" s="7"/>
      <c r="W243" s="7"/>
      <c r="X243" s="7"/>
      <c r="Y243" s="7"/>
      <c r="Z243" s="7"/>
    </row>
    <row r="244" spans="1:26" ht="15.75" customHeight="1">
      <c r="A244" s="7"/>
      <c r="B244" s="7"/>
      <c r="C244" s="29"/>
      <c r="D244" s="30"/>
      <c r="E244" s="30"/>
      <c r="F244" s="30"/>
      <c r="G244" s="30"/>
      <c r="H244" s="30"/>
      <c r="I244" s="7"/>
      <c r="J244" s="7"/>
      <c r="K244" s="7"/>
      <c r="L244" s="7"/>
      <c r="M244" s="7"/>
      <c r="N244" s="7"/>
      <c r="O244" s="7"/>
      <c r="P244" s="7"/>
      <c r="Q244" s="7"/>
      <c r="R244" s="7"/>
      <c r="S244" s="7"/>
      <c r="T244" s="7"/>
      <c r="U244" s="7"/>
      <c r="V244" s="7"/>
      <c r="W244" s="7"/>
      <c r="X244" s="7"/>
      <c r="Y244" s="7"/>
      <c r="Z244" s="7"/>
    </row>
    <row r="245" spans="1:26" ht="15.75" customHeight="1">
      <c r="A245" s="7"/>
      <c r="B245" s="7"/>
      <c r="C245" s="29"/>
      <c r="D245" s="30"/>
      <c r="E245" s="30"/>
      <c r="F245" s="30"/>
      <c r="G245" s="30"/>
      <c r="H245" s="30"/>
      <c r="I245" s="7"/>
      <c r="J245" s="7"/>
      <c r="K245" s="7"/>
      <c r="L245" s="7"/>
      <c r="M245" s="7"/>
      <c r="N245" s="7"/>
      <c r="O245" s="7"/>
      <c r="P245" s="7"/>
      <c r="Q245" s="7"/>
      <c r="R245" s="7"/>
      <c r="S245" s="7"/>
      <c r="T245" s="7"/>
      <c r="U245" s="7"/>
      <c r="V245" s="7"/>
      <c r="W245" s="7"/>
      <c r="X245" s="7"/>
      <c r="Y245" s="7"/>
      <c r="Z245" s="7"/>
    </row>
    <row r="246" spans="1:26" ht="15.75" customHeight="1">
      <c r="A246" s="7"/>
      <c r="B246" s="7"/>
      <c r="C246" s="29"/>
      <c r="D246" s="30"/>
      <c r="E246" s="30"/>
      <c r="F246" s="30"/>
      <c r="G246" s="30"/>
      <c r="H246" s="30"/>
      <c r="I246" s="7"/>
      <c r="J246" s="7"/>
      <c r="K246" s="7"/>
      <c r="L246" s="7"/>
      <c r="M246" s="7"/>
      <c r="N246" s="7"/>
      <c r="O246" s="7"/>
      <c r="P246" s="7"/>
      <c r="Q246" s="7"/>
      <c r="R246" s="7"/>
      <c r="S246" s="7"/>
      <c r="T246" s="7"/>
      <c r="U246" s="7"/>
      <c r="V246" s="7"/>
      <c r="W246" s="7"/>
      <c r="X246" s="7"/>
      <c r="Y246" s="7"/>
      <c r="Z246" s="7"/>
    </row>
    <row r="247" spans="1:26" ht="15.75" customHeight="1">
      <c r="A247" s="7"/>
      <c r="B247" s="7"/>
      <c r="C247" s="29"/>
      <c r="D247" s="30"/>
      <c r="E247" s="30"/>
      <c r="F247" s="30"/>
      <c r="G247" s="30"/>
      <c r="H247" s="30"/>
      <c r="I247" s="7"/>
      <c r="J247" s="7"/>
      <c r="K247" s="7"/>
      <c r="L247" s="7"/>
      <c r="M247" s="7"/>
      <c r="N247" s="7"/>
      <c r="O247" s="7"/>
      <c r="P247" s="7"/>
      <c r="Q247" s="7"/>
      <c r="R247" s="7"/>
      <c r="S247" s="7"/>
      <c r="T247" s="7"/>
      <c r="U247" s="7"/>
      <c r="V247" s="7"/>
      <c r="W247" s="7"/>
      <c r="X247" s="7"/>
      <c r="Y247" s="7"/>
      <c r="Z247" s="7"/>
    </row>
    <row r="248" spans="1:26" ht="15.75" customHeight="1">
      <c r="A248" s="7"/>
      <c r="B248" s="7"/>
      <c r="C248" s="29"/>
      <c r="D248" s="30"/>
      <c r="E248" s="30"/>
      <c r="F248" s="30"/>
      <c r="G248" s="30"/>
      <c r="H248" s="30"/>
      <c r="I248" s="7"/>
      <c r="J248" s="7"/>
      <c r="K248" s="7"/>
      <c r="L248" s="7"/>
      <c r="M248" s="7"/>
      <c r="N248" s="7"/>
      <c r="O248" s="7"/>
      <c r="P248" s="7"/>
      <c r="Q248" s="7"/>
      <c r="R248" s="7"/>
      <c r="S248" s="7"/>
      <c r="T248" s="7"/>
      <c r="U248" s="7"/>
      <c r="V248" s="7"/>
      <c r="W248" s="7"/>
      <c r="X248" s="7"/>
      <c r="Y248" s="7"/>
      <c r="Z248" s="7"/>
    </row>
    <row r="249" spans="1:26" ht="15.75" customHeight="1">
      <c r="A249" s="7"/>
      <c r="B249" s="7"/>
      <c r="C249" s="29"/>
      <c r="D249" s="30"/>
      <c r="E249" s="30"/>
      <c r="F249" s="30"/>
      <c r="G249" s="30"/>
      <c r="H249" s="30"/>
      <c r="I249" s="7"/>
      <c r="J249" s="7"/>
      <c r="K249" s="7"/>
      <c r="L249" s="7"/>
      <c r="M249" s="7"/>
      <c r="N249" s="7"/>
      <c r="O249" s="7"/>
      <c r="P249" s="7"/>
      <c r="Q249" s="7"/>
      <c r="R249" s="7"/>
      <c r="S249" s="7"/>
      <c r="T249" s="7"/>
      <c r="U249" s="7"/>
      <c r="V249" s="7"/>
      <c r="W249" s="7"/>
      <c r="X249" s="7"/>
      <c r="Y249" s="7"/>
      <c r="Z249" s="7"/>
    </row>
    <row r="250" spans="1:26" ht="15.75" customHeight="1">
      <c r="A250" s="7"/>
      <c r="B250" s="7"/>
      <c r="C250" s="29"/>
      <c r="D250" s="30"/>
      <c r="E250" s="30"/>
      <c r="F250" s="30"/>
      <c r="G250" s="30"/>
      <c r="H250" s="30"/>
      <c r="I250" s="7"/>
      <c r="J250" s="7"/>
      <c r="K250" s="7"/>
      <c r="L250" s="7"/>
      <c r="M250" s="7"/>
      <c r="N250" s="7"/>
      <c r="O250" s="7"/>
      <c r="P250" s="7"/>
      <c r="Q250" s="7"/>
      <c r="R250" s="7"/>
      <c r="S250" s="7"/>
      <c r="T250" s="7"/>
      <c r="U250" s="7"/>
      <c r="V250" s="7"/>
      <c r="W250" s="7"/>
      <c r="X250" s="7"/>
      <c r="Y250" s="7"/>
      <c r="Z250" s="7"/>
    </row>
    <row r="251" spans="1:26" ht="15.75" customHeight="1">
      <c r="A251" s="7"/>
      <c r="B251" s="7"/>
      <c r="C251" s="29"/>
      <c r="D251" s="30"/>
      <c r="E251" s="30"/>
      <c r="F251" s="30"/>
      <c r="G251" s="30"/>
      <c r="H251" s="30"/>
      <c r="I251" s="7"/>
      <c r="J251" s="7"/>
      <c r="K251" s="7"/>
      <c r="L251" s="7"/>
      <c r="M251" s="7"/>
      <c r="N251" s="7"/>
      <c r="O251" s="7"/>
      <c r="P251" s="7"/>
      <c r="Q251" s="7"/>
      <c r="R251" s="7"/>
      <c r="S251" s="7"/>
      <c r="T251" s="7"/>
      <c r="U251" s="7"/>
      <c r="V251" s="7"/>
      <c r="W251" s="7"/>
      <c r="X251" s="7"/>
      <c r="Y251" s="7"/>
      <c r="Z251" s="7"/>
    </row>
    <row r="252" spans="1:26" ht="15.75" customHeight="1">
      <c r="A252" s="7"/>
      <c r="B252" s="7"/>
      <c r="C252" s="29"/>
      <c r="D252" s="30"/>
      <c r="E252" s="30"/>
      <c r="F252" s="30"/>
      <c r="G252" s="30"/>
      <c r="H252" s="30"/>
      <c r="I252" s="7"/>
      <c r="J252" s="7"/>
      <c r="K252" s="7"/>
      <c r="L252" s="7"/>
      <c r="M252" s="7"/>
      <c r="N252" s="7"/>
      <c r="O252" s="7"/>
      <c r="P252" s="7"/>
      <c r="Q252" s="7"/>
      <c r="R252" s="7"/>
      <c r="S252" s="7"/>
      <c r="T252" s="7"/>
      <c r="U252" s="7"/>
      <c r="V252" s="7"/>
      <c r="W252" s="7"/>
      <c r="X252" s="7"/>
      <c r="Y252" s="7"/>
      <c r="Z252" s="7"/>
    </row>
    <row r="253" spans="1:26" ht="15.75" customHeight="1">
      <c r="A253" s="7"/>
      <c r="B253" s="7"/>
      <c r="C253" s="29"/>
      <c r="D253" s="30"/>
      <c r="E253" s="30"/>
      <c r="F253" s="30"/>
      <c r="G253" s="30"/>
      <c r="H253" s="30"/>
      <c r="I253" s="7"/>
      <c r="J253" s="7"/>
      <c r="K253" s="7"/>
      <c r="L253" s="7"/>
      <c r="M253" s="7"/>
      <c r="N253" s="7"/>
      <c r="O253" s="7"/>
      <c r="P253" s="7"/>
      <c r="Q253" s="7"/>
      <c r="R253" s="7"/>
      <c r="S253" s="7"/>
      <c r="T253" s="7"/>
      <c r="U253" s="7"/>
      <c r="V253" s="7"/>
      <c r="W253" s="7"/>
      <c r="X253" s="7"/>
      <c r="Y253" s="7"/>
      <c r="Z253" s="7"/>
    </row>
    <row r="254" spans="1:26" ht="15.75" customHeight="1">
      <c r="A254" s="7"/>
      <c r="B254" s="7"/>
      <c r="C254" s="29"/>
      <c r="D254" s="30"/>
      <c r="E254" s="30"/>
      <c r="F254" s="30"/>
      <c r="G254" s="30"/>
      <c r="H254" s="30"/>
      <c r="I254" s="7"/>
      <c r="J254" s="7"/>
      <c r="K254" s="7"/>
      <c r="L254" s="7"/>
      <c r="M254" s="7"/>
      <c r="N254" s="7"/>
      <c r="O254" s="7"/>
      <c r="P254" s="7"/>
      <c r="Q254" s="7"/>
      <c r="R254" s="7"/>
      <c r="S254" s="7"/>
      <c r="T254" s="7"/>
      <c r="U254" s="7"/>
      <c r="V254" s="7"/>
      <c r="W254" s="7"/>
      <c r="X254" s="7"/>
      <c r="Y254" s="7"/>
      <c r="Z254" s="7"/>
    </row>
    <row r="255" spans="1:26" ht="15.75" customHeight="1">
      <c r="A255" s="7"/>
      <c r="B255" s="7"/>
      <c r="C255" s="29"/>
      <c r="D255" s="30"/>
      <c r="E255" s="30"/>
      <c r="F255" s="30"/>
      <c r="G255" s="30"/>
      <c r="H255" s="30"/>
      <c r="I255" s="7"/>
      <c r="J255" s="7"/>
      <c r="K255" s="7"/>
      <c r="L255" s="7"/>
      <c r="M255" s="7"/>
      <c r="N255" s="7"/>
      <c r="O255" s="7"/>
      <c r="P255" s="7"/>
      <c r="Q255" s="7"/>
      <c r="R255" s="7"/>
      <c r="S255" s="7"/>
      <c r="T255" s="7"/>
      <c r="U255" s="7"/>
      <c r="V255" s="7"/>
      <c r="W255" s="7"/>
      <c r="X255" s="7"/>
      <c r="Y255" s="7"/>
      <c r="Z255" s="7"/>
    </row>
    <row r="256" spans="1:26" ht="15.75" customHeight="1">
      <c r="A256" s="7"/>
      <c r="B256" s="7"/>
      <c r="C256" s="29"/>
      <c r="D256" s="30"/>
      <c r="E256" s="30"/>
      <c r="F256" s="30"/>
      <c r="G256" s="30"/>
      <c r="H256" s="30"/>
      <c r="I256" s="7"/>
      <c r="J256" s="7"/>
      <c r="K256" s="7"/>
      <c r="L256" s="7"/>
      <c r="M256" s="7"/>
      <c r="N256" s="7"/>
      <c r="O256" s="7"/>
      <c r="P256" s="7"/>
      <c r="Q256" s="7"/>
      <c r="R256" s="7"/>
      <c r="S256" s="7"/>
      <c r="T256" s="7"/>
      <c r="U256" s="7"/>
      <c r="V256" s="7"/>
      <c r="W256" s="7"/>
      <c r="X256" s="7"/>
      <c r="Y256" s="7"/>
      <c r="Z256" s="7"/>
    </row>
    <row r="257" spans="1:26" ht="15.75" customHeight="1">
      <c r="A257" s="7"/>
      <c r="B257" s="7"/>
      <c r="C257" s="29"/>
      <c r="D257" s="30"/>
      <c r="E257" s="30"/>
      <c r="F257" s="30"/>
      <c r="G257" s="30"/>
      <c r="H257" s="30"/>
      <c r="I257" s="7"/>
      <c r="J257" s="7"/>
      <c r="K257" s="7"/>
      <c r="L257" s="7"/>
      <c r="M257" s="7"/>
      <c r="N257" s="7"/>
      <c r="O257" s="7"/>
      <c r="P257" s="7"/>
      <c r="Q257" s="7"/>
      <c r="R257" s="7"/>
      <c r="S257" s="7"/>
      <c r="T257" s="7"/>
      <c r="U257" s="7"/>
      <c r="V257" s="7"/>
      <c r="W257" s="7"/>
      <c r="X257" s="7"/>
      <c r="Y257" s="7"/>
      <c r="Z257" s="7"/>
    </row>
    <row r="258" spans="1:26" ht="15.75" customHeight="1">
      <c r="A258" s="7"/>
      <c r="B258" s="7"/>
      <c r="C258" s="29"/>
      <c r="D258" s="30"/>
      <c r="E258" s="30"/>
      <c r="F258" s="30"/>
      <c r="G258" s="30"/>
      <c r="H258" s="30"/>
      <c r="I258" s="7"/>
      <c r="J258" s="7"/>
      <c r="K258" s="7"/>
      <c r="L258" s="7"/>
      <c r="M258" s="7"/>
      <c r="N258" s="7"/>
      <c r="O258" s="7"/>
      <c r="P258" s="7"/>
      <c r="Q258" s="7"/>
      <c r="R258" s="7"/>
      <c r="S258" s="7"/>
      <c r="T258" s="7"/>
      <c r="U258" s="7"/>
      <c r="V258" s="7"/>
      <c r="W258" s="7"/>
      <c r="X258" s="7"/>
      <c r="Y258" s="7"/>
      <c r="Z258" s="7"/>
    </row>
    <row r="259" spans="1:26" ht="15.75" customHeight="1">
      <c r="A259" s="7"/>
      <c r="B259" s="7"/>
      <c r="C259" s="29"/>
      <c r="D259" s="30"/>
      <c r="E259" s="30"/>
      <c r="F259" s="30"/>
      <c r="G259" s="30"/>
      <c r="H259" s="30"/>
      <c r="I259" s="7"/>
      <c r="J259" s="7"/>
      <c r="K259" s="7"/>
      <c r="L259" s="7"/>
      <c r="M259" s="7"/>
      <c r="N259" s="7"/>
      <c r="O259" s="7"/>
      <c r="P259" s="7"/>
      <c r="Q259" s="7"/>
      <c r="R259" s="7"/>
      <c r="S259" s="7"/>
      <c r="T259" s="7"/>
      <c r="U259" s="7"/>
      <c r="V259" s="7"/>
      <c r="W259" s="7"/>
      <c r="X259" s="7"/>
      <c r="Y259" s="7"/>
      <c r="Z259" s="7"/>
    </row>
    <row r="260" spans="1:26" ht="15.75" customHeight="1">
      <c r="A260" s="7"/>
      <c r="B260" s="7"/>
      <c r="C260" s="29"/>
      <c r="D260" s="30"/>
      <c r="E260" s="30"/>
      <c r="F260" s="30"/>
      <c r="G260" s="30"/>
      <c r="H260" s="30"/>
      <c r="I260" s="7"/>
      <c r="J260" s="7"/>
      <c r="K260" s="7"/>
      <c r="L260" s="7"/>
      <c r="M260" s="7"/>
      <c r="N260" s="7"/>
      <c r="O260" s="7"/>
      <c r="P260" s="7"/>
      <c r="Q260" s="7"/>
      <c r="R260" s="7"/>
      <c r="S260" s="7"/>
      <c r="T260" s="7"/>
      <c r="U260" s="7"/>
      <c r="V260" s="7"/>
      <c r="W260" s="7"/>
      <c r="X260" s="7"/>
      <c r="Y260" s="7"/>
      <c r="Z260" s="7"/>
    </row>
    <row r="261" spans="1:26" ht="15.75" customHeight="1">
      <c r="A261" s="7"/>
      <c r="B261" s="7"/>
      <c r="C261" s="29"/>
      <c r="D261" s="30"/>
      <c r="E261" s="30"/>
      <c r="F261" s="30"/>
      <c r="G261" s="30"/>
      <c r="H261" s="30"/>
      <c r="I261" s="7"/>
      <c r="J261" s="7"/>
      <c r="K261" s="7"/>
      <c r="L261" s="7"/>
      <c r="M261" s="7"/>
      <c r="N261" s="7"/>
      <c r="O261" s="7"/>
      <c r="P261" s="7"/>
      <c r="Q261" s="7"/>
      <c r="R261" s="7"/>
      <c r="S261" s="7"/>
      <c r="T261" s="7"/>
      <c r="U261" s="7"/>
      <c r="V261" s="7"/>
      <c r="W261" s="7"/>
      <c r="X261" s="7"/>
      <c r="Y261" s="7"/>
      <c r="Z261" s="7"/>
    </row>
    <row r="262" spans="1:26" ht="15.75" customHeight="1">
      <c r="A262" s="7"/>
      <c r="B262" s="7"/>
      <c r="C262" s="29"/>
      <c r="D262" s="30"/>
      <c r="E262" s="30"/>
      <c r="F262" s="30"/>
      <c r="G262" s="30"/>
      <c r="H262" s="30"/>
      <c r="I262" s="7"/>
      <c r="J262" s="7"/>
      <c r="K262" s="7"/>
      <c r="L262" s="7"/>
      <c r="M262" s="7"/>
      <c r="N262" s="7"/>
      <c r="O262" s="7"/>
      <c r="P262" s="7"/>
      <c r="Q262" s="7"/>
      <c r="R262" s="7"/>
      <c r="S262" s="7"/>
      <c r="T262" s="7"/>
      <c r="U262" s="7"/>
      <c r="V262" s="7"/>
      <c r="W262" s="7"/>
      <c r="X262" s="7"/>
      <c r="Y262" s="7"/>
      <c r="Z262" s="7"/>
    </row>
    <row r="263" spans="1:26" ht="15.75" customHeight="1">
      <c r="A263" s="7"/>
      <c r="B263" s="7"/>
      <c r="C263" s="29"/>
      <c r="D263" s="30"/>
      <c r="E263" s="30"/>
      <c r="F263" s="30"/>
      <c r="G263" s="30"/>
      <c r="H263" s="30"/>
      <c r="I263" s="7"/>
      <c r="J263" s="7"/>
      <c r="K263" s="7"/>
      <c r="L263" s="7"/>
      <c r="M263" s="7"/>
      <c r="N263" s="7"/>
      <c r="O263" s="7"/>
      <c r="P263" s="7"/>
      <c r="Q263" s="7"/>
      <c r="R263" s="7"/>
      <c r="S263" s="7"/>
      <c r="T263" s="7"/>
      <c r="U263" s="7"/>
      <c r="V263" s="7"/>
      <c r="W263" s="7"/>
      <c r="X263" s="7"/>
      <c r="Y263" s="7"/>
      <c r="Z263" s="7"/>
    </row>
    <row r="264" spans="1:26" ht="15.75" customHeight="1">
      <c r="A264" s="7"/>
      <c r="B264" s="7"/>
      <c r="C264" s="29"/>
      <c r="D264" s="30"/>
      <c r="E264" s="30"/>
      <c r="F264" s="30"/>
      <c r="G264" s="30"/>
      <c r="H264" s="30"/>
      <c r="I264" s="7"/>
      <c r="J264" s="7"/>
      <c r="K264" s="7"/>
      <c r="L264" s="7"/>
      <c r="M264" s="7"/>
      <c r="N264" s="7"/>
      <c r="O264" s="7"/>
      <c r="P264" s="7"/>
      <c r="Q264" s="7"/>
      <c r="R264" s="7"/>
      <c r="S264" s="7"/>
      <c r="T264" s="7"/>
      <c r="U264" s="7"/>
      <c r="V264" s="7"/>
      <c r="W264" s="7"/>
      <c r="X264" s="7"/>
      <c r="Y264" s="7"/>
      <c r="Z264" s="7"/>
    </row>
    <row r="265" spans="1:26" ht="15.75" customHeight="1"/>
    <row r="266" spans="1:26" ht="15.75" customHeight="1"/>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4">
    <mergeCell ref="N55:T55"/>
    <mergeCell ref="N57:Q57"/>
    <mergeCell ref="D2:H2"/>
    <mergeCell ref="I2:M2"/>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Y998"/>
  <sheetViews>
    <sheetView showGridLines="0" workbookViewId="0">
      <pane ySplit="3" topLeftCell="A4" activePane="bottomLeft" state="frozen"/>
      <selection pane="bottomLeft" activeCell="M21" sqref="M21"/>
    </sheetView>
  </sheetViews>
  <sheetFormatPr defaultColWidth="10.1796875" defaultRowHeight="15" customHeight="1"/>
  <cols>
    <col min="1" max="1" width="2.453125" customWidth="1"/>
    <col min="2" max="2" width="38.453125" customWidth="1"/>
    <col min="14" max="14" width="11.453125" customWidth="1"/>
    <col min="17" max="17" width="11.7265625" customWidth="1"/>
  </cols>
  <sheetData>
    <row r="1" spans="1:25" ht="15" customHeight="1">
      <c r="A1" s="5" t="s">
        <v>331</v>
      </c>
      <c r="B1" s="7"/>
      <c r="C1" s="29"/>
      <c r="D1" s="30"/>
      <c r="E1" s="30"/>
      <c r="F1" s="30"/>
      <c r="G1" s="30"/>
      <c r="H1" s="30"/>
      <c r="I1" s="7"/>
      <c r="J1" s="7"/>
      <c r="K1" s="7"/>
      <c r="L1" s="7"/>
      <c r="M1" s="7"/>
      <c r="N1" s="7"/>
      <c r="O1" s="7"/>
      <c r="P1" s="7"/>
      <c r="Q1" s="7"/>
      <c r="R1" s="7"/>
      <c r="S1" s="7"/>
      <c r="T1" s="7"/>
      <c r="U1" s="7"/>
      <c r="V1" s="7"/>
      <c r="W1" s="7"/>
      <c r="X1" s="7"/>
      <c r="Y1" s="7"/>
    </row>
    <row r="2" spans="1:25" ht="15" customHeight="1">
      <c r="A2" s="31"/>
      <c r="B2" s="31"/>
      <c r="C2" s="32"/>
      <c r="D2" s="591" t="s">
        <v>48</v>
      </c>
      <c r="E2" s="592"/>
      <c r="F2" s="592"/>
      <c r="G2" s="592"/>
      <c r="H2" s="593"/>
      <c r="I2" s="591" t="s">
        <v>49</v>
      </c>
      <c r="J2" s="592"/>
      <c r="K2" s="592"/>
      <c r="L2" s="592"/>
      <c r="M2" s="593"/>
      <c r="N2" s="7"/>
      <c r="O2" s="7"/>
      <c r="P2" s="7"/>
      <c r="Q2" s="7"/>
      <c r="R2" s="7"/>
      <c r="S2" s="7"/>
      <c r="T2" s="7"/>
      <c r="U2" s="7"/>
      <c r="V2" s="7"/>
      <c r="W2" s="7"/>
      <c r="X2" s="7"/>
      <c r="Y2" s="7"/>
    </row>
    <row r="3" spans="1:25">
      <c r="A3" s="134" t="s">
        <v>332</v>
      </c>
      <c r="B3" s="35"/>
      <c r="C3" s="36" t="s">
        <v>51</v>
      </c>
      <c r="D3" s="37" t="s">
        <v>17</v>
      </c>
      <c r="E3" s="37" t="s">
        <v>18</v>
      </c>
      <c r="F3" s="37" t="s">
        <v>19</v>
      </c>
      <c r="G3" s="37" t="s">
        <v>20</v>
      </c>
      <c r="H3" s="37" t="s">
        <v>21</v>
      </c>
      <c r="I3" s="263" t="s">
        <v>22</v>
      </c>
      <c r="J3" s="264" t="s">
        <v>23</v>
      </c>
      <c r="K3" s="264" t="s">
        <v>24</v>
      </c>
      <c r="L3" s="264" t="s">
        <v>25</v>
      </c>
      <c r="M3" s="264" t="s">
        <v>26</v>
      </c>
      <c r="N3" s="7"/>
      <c r="O3" s="7"/>
      <c r="P3" s="7"/>
      <c r="Q3" s="7"/>
      <c r="R3" s="7"/>
      <c r="S3" s="7"/>
      <c r="T3" s="7"/>
      <c r="U3" s="7"/>
      <c r="V3" s="7"/>
      <c r="W3" s="7"/>
      <c r="X3" s="7"/>
      <c r="Y3" s="7"/>
    </row>
    <row r="4" spans="1:25">
      <c r="A4" s="7"/>
      <c r="B4" s="7"/>
      <c r="C4" s="30"/>
      <c r="D4" s="30"/>
      <c r="E4" s="30"/>
      <c r="F4" s="30"/>
      <c r="G4" s="30"/>
      <c r="H4" s="30"/>
      <c r="I4" s="30"/>
      <c r="J4" s="30"/>
      <c r="K4" s="30"/>
      <c r="L4" s="30"/>
      <c r="M4" s="30"/>
      <c r="N4" s="7"/>
      <c r="O4" s="7"/>
      <c r="P4" s="7"/>
      <c r="Q4" s="7"/>
      <c r="R4" s="7"/>
      <c r="S4" s="7"/>
      <c r="T4" s="7"/>
      <c r="U4" s="7"/>
      <c r="V4" s="7"/>
      <c r="W4" s="7"/>
      <c r="X4" s="7"/>
      <c r="Y4" s="7"/>
    </row>
    <row r="5" spans="1:25">
      <c r="A5" s="7"/>
      <c r="B5" s="64"/>
      <c r="C5" s="30"/>
      <c r="D5" s="30"/>
      <c r="E5" s="30"/>
      <c r="F5" s="30"/>
      <c r="G5" s="30"/>
      <c r="H5" s="30"/>
      <c r="I5" s="30"/>
      <c r="J5" s="30"/>
      <c r="K5" s="30"/>
      <c r="L5" s="30"/>
      <c r="M5" s="30"/>
      <c r="N5" s="629" t="s">
        <v>333</v>
      </c>
      <c r="O5" s="602"/>
      <c r="P5" s="602"/>
      <c r="Q5" s="602"/>
      <c r="R5" s="7"/>
      <c r="S5" s="7"/>
      <c r="T5" s="7"/>
      <c r="U5" s="7"/>
      <c r="V5" s="7"/>
      <c r="W5" s="7"/>
      <c r="X5" s="7"/>
      <c r="Y5" s="7"/>
    </row>
    <row r="6" spans="1:25" ht="15" customHeight="1">
      <c r="A6" s="7"/>
      <c r="B6" s="14" t="s">
        <v>334</v>
      </c>
      <c r="C6" s="29"/>
      <c r="D6" s="244"/>
      <c r="E6" s="244"/>
      <c r="F6" s="244"/>
      <c r="G6" s="244"/>
      <c r="H6" s="244"/>
      <c r="I6" s="57"/>
      <c r="J6" s="57"/>
      <c r="K6" s="57"/>
      <c r="L6" s="57"/>
      <c r="M6" s="57"/>
      <c r="N6" s="602"/>
      <c r="O6" s="624"/>
      <c r="P6" s="624"/>
      <c r="Q6" s="602"/>
      <c r="R6" s="7"/>
      <c r="S6" s="7"/>
      <c r="T6" s="7"/>
      <c r="U6" s="7"/>
      <c r="V6" s="7"/>
      <c r="W6" s="7"/>
      <c r="X6" s="7"/>
      <c r="Y6" s="7"/>
    </row>
    <row r="7" spans="1:25" ht="15" customHeight="1">
      <c r="A7" s="7"/>
      <c r="B7" s="16" t="s">
        <v>14</v>
      </c>
      <c r="C7" s="29" t="s">
        <v>53</v>
      </c>
      <c r="D7" s="20">
        <v>57833.860999999975</v>
      </c>
      <c r="E7" s="20">
        <v>73688.646000000008</v>
      </c>
      <c r="F7" s="20">
        <v>53568.038999999982</v>
      </c>
      <c r="G7" s="20">
        <v>29134.528999999966</v>
      </c>
      <c r="H7" s="20">
        <v>69089.142999999953</v>
      </c>
      <c r="I7" s="192">
        <v>59959.14898712455</v>
      </c>
      <c r="J7" s="103">
        <v>84262.867992303858</v>
      </c>
      <c r="K7" s="103">
        <v>120693.41718800657</v>
      </c>
      <c r="L7" s="103">
        <v>158771.44552164749</v>
      </c>
      <c r="M7" s="103">
        <v>202843.7077140183</v>
      </c>
      <c r="N7" s="602"/>
      <c r="O7" s="624"/>
      <c r="P7" s="624"/>
      <c r="Q7" s="602"/>
      <c r="R7" s="7"/>
      <c r="S7" s="7"/>
      <c r="T7" s="7"/>
      <c r="U7" s="7"/>
      <c r="V7" s="7"/>
      <c r="W7" s="7"/>
      <c r="X7" s="7"/>
      <c r="Y7" s="7"/>
    </row>
    <row r="8" spans="1:25" ht="15" customHeight="1">
      <c r="A8" s="7"/>
      <c r="B8" s="7"/>
      <c r="C8" s="30"/>
      <c r="D8" s="30"/>
      <c r="E8" s="30"/>
      <c r="F8" s="30"/>
      <c r="G8" s="30"/>
      <c r="H8" s="30"/>
      <c r="I8" s="632" t="s">
        <v>335</v>
      </c>
      <c r="J8" s="633"/>
      <c r="K8" s="633"/>
      <c r="L8" s="633"/>
      <c r="M8" s="634"/>
      <c r="N8" s="602"/>
      <c r="O8" s="602"/>
      <c r="P8" s="602"/>
      <c r="Q8" s="602"/>
      <c r="R8" s="7"/>
      <c r="S8" s="7"/>
      <c r="T8" s="7"/>
      <c r="U8" s="7"/>
      <c r="V8" s="7"/>
      <c r="W8" s="7"/>
      <c r="X8" s="7"/>
      <c r="Y8" s="7"/>
    </row>
    <row r="9" spans="1:25">
      <c r="A9" s="7"/>
      <c r="B9" s="14" t="s">
        <v>336</v>
      </c>
      <c r="C9" s="30"/>
      <c r="D9" s="30"/>
      <c r="E9" s="30"/>
      <c r="F9" s="30"/>
      <c r="G9" s="30"/>
      <c r="H9" s="30"/>
      <c r="I9" s="44"/>
      <c r="J9" s="7"/>
      <c r="K9" s="7"/>
      <c r="L9" s="7"/>
      <c r="M9" s="7"/>
      <c r="N9" s="52"/>
      <c r="O9" s="52"/>
      <c r="P9" s="52"/>
      <c r="Q9" s="7"/>
      <c r="R9" s="7"/>
      <c r="S9" s="7"/>
      <c r="T9" s="7"/>
      <c r="U9" s="7"/>
      <c r="V9" s="7"/>
      <c r="W9" s="7"/>
      <c r="X9" s="7"/>
      <c r="Y9" s="7"/>
    </row>
    <row r="10" spans="1:25" ht="15" customHeight="1">
      <c r="A10" s="7"/>
      <c r="B10" s="16" t="s">
        <v>337</v>
      </c>
      <c r="C10" s="29" t="s">
        <v>53</v>
      </c>
      <c r="D10" s="20">
        <f>'Income Assumptions'!F5</f>
        <v>200228.976</v>
      </c>
      <c r="E10" s="20">
        <f>'Income Assumptions'!G5</f>
        <v>217981.22500000003</v>
      </c>
      <c r="F10" s="20">
        <f>'Income Assumptions'!H5</f>
        <v>231090.60399999999</v>
      </c>
      <c r="G10" s="20">
        <f>'Income Assumptions'!I5</f>
        <v>241981.054</v>
      </c>
      <c r="H10" s="20">
        <f>'Income Assumptions'!J5</f>
        <v>242173.28700000001</v>
      </c>
      <c r="I10" s="122">
        <f>'Income Assumptions'!K5</f>
        <v>247698.17407615317</v>
      </c>
      <c r="J10" s="20">
        <f>'Income Assumptions'!L5</f>
        <v>254065.02382510222</v>
      </c>
      <c r="K10" s="20">
        <f>'Income Assumptions'!M5</f>
        <v>260828.83061416645</v>
      </c>
      <c r="L10" s="20">
        <f>'Income Assumptions'!N5</f>
        <v>267310.8264958997</v>
      </c>
      <c r="M10" s="20">
        <f>'Income Assumptions'!O5</f>
        <v>274156.61678996094</v>
      </c>
      <c r="N10" s="54"/>
      <c r="O10" s="635" t="s">
        <v>338</v>
      </c>
      <c r="P10" s="584"/>
      <c r="Q10" s="584"/>
      <c r="R10" s="585"/>
      <c r="S10" s="7"/>
      <c r="T10" s="7"/>
      <c r="U10" s="7"/>
      <c r="V10" s="7"/>
      <c r="W10" s="7"/>
      <c r="X10" s="7"/>
      <c r="Y10" s="7"/>
    </row>
    <row r="11" spans="1:25">
      <c r="A11" s="7"/>
      <c r="B11" s="278" t="s">
        <v>339</v>
      </c>
      <c r="C11" s="55" t="s">
        <v>53</v>
      </c>
      <c r="D11" s="57">
        <f>'Balance Sheet'!D7</f>
        <v>57833.860999999975</v>
      </c>
      <c r="E11" s="57">
        <f>'Balance Sheet'!E7</f>
        <v>73688.646000000008</v>
      </c>
      <c r="F11" s="57">
        <f>'Balance Sheet'!F7</f>
        <v>53568.038999999982</v>
      </c>
      <c r="G11" s="57">
        <f>'Balance Sheet'!G7</f>
        <v>29134.528999999966</v>
      </c>
      <c r="H11" s="57">
        <f>'Balance Sheet'!H7</f>
        <v>69089.142999999953</v>
      </c>
      <c r="I11" s="124">
        <f t="shared" ref="I11:M11" si="0">I10*I12</f>
        <v>49539.634815230638</v>
      </c>
      <c r="J11" s="56">
        <f t="shared" si="0"/>
        <v>50813.004765020451</v>
      </c>
      <c r="K11" s="56">
        <f t="shared" si="0"/>
        <v>52165.766122833295</v>
      </c>
      <c r="L11" s="56">
        <f t="shared" si="0"/>
        <v>53462.165299179942</v>
      </c>
      <c r="M11" s="56">
        <f t="shared" si="0"/>
        <v>54831.323357992194</v>
      </c>
      <c r="N11" s="279" t="s">
        <v>340</v>
      </c>
      <c r="O11" s="254" t="s">
        <v>341</v>
      </c>
      <c r="P11" s="280">
        <v>0.12</v>
      </c>
      <c r="Q11" s="281" t="s">
        <v>342</v>
      </c>
      <c r="R11" s="282"/>
      <c r="S11" s="7"/>
      <c r="T11" s="7"/>
      <c r="U11" s="7"/>
      <c r="V11" s="7"/>
      <c r="W11" s="7"/>
      <c r="X11" s="7"/>
      <c r="Y11" s="7"/>
    </row>
    <row r="12" spans="1:25" ht="15" customHeight="1">
      <c r="A12" s="7"/>
      <c r="B12" s="16" t="s">
        <v>343</v>
      </c>
      <c r="C12" s="30" t="s">
        <v>55</v>
      </c>
      <c r="D12" s="283">
        <f>D7/'Income Assumptions'!F5</f>
        <v>0.28883861944137385</v>
      </c>
      <c r="E12" s="283">
        <f>E7/'Income Assumptions'!G5</f>
        <v>0.33805042613188357</v>
      </c>
      <c r="F12" s="283">
        <f>F7/'Income Assumptions'!H5</f>
        <v>0.23180535284766482</v>
      </c>
      <c r="G12" s="283">
        <f>G7/'Income Assumptions'!I5</f>
        <v>0.12040004173219265</v>
      </c>
      <c r="H12" s="283">
        <f>H7/'Income Assumptions'!J5</f>
        <v>0.28528804252468998</v>
      </c>
      <c r="I12" s="284">
        <f t="shared" ref="I12:M12" si="1">VLOOKUP($N$11,$O$11:$P$13,2,FALSE)</f>
        <v>0.2</v>
      </c>
      <c r="J12" s="285">
        <f t="shared" si="1"/>
        <v>0.2</v>
      </c>
      <c r="K12" s="285">
        <f t="shared" si="1"/>
        <v>0.2</v>
      </c>
      <c r="L12" s="285">
        <f t="shared" si="1"/>
        <v>0.2</v>
      </c>
      <c r="M12" s="285">
        <f t="shared" si="1"/>
        <v>0.2</v>
      </c>
      <c r="N12" s="7"/>
      <c r="O12" s="286" t="s">
        <v>344</v>
      </c>
      <c r="P12" s="287">
        <v>0.15</v>
      </c>
      <c r="Q12" s="288" t="s">
        <v>345</v>
      </c>
      <c r="R12" s="289"/>
      <c r="S12" s="7"/>
      <c r="T12" s="7"/>
      <c r="U12" s="7"/>
      <c r="V12" s="7"/>
      <c r="W12" s="7"/>
      <c r="X12" s="7"/>
      <c r="Y12" s="7"/>
    </row>
    <row r="13" spans="1:25">
      <c r="A13" s="7"/>
      <c r="B13" s="7"/>
      <c r="C13" s="30"/>
      <c r="D13" s="30"/>
      <c r="E13" s="30"/>
      <c r="F13" s="30"/>
      <c r="G13" s="30"/>
      <c r="H13" s="30"/>
      <c r="I13" s="7"/>
      <c r="J13" s="7"/>
      <c r="K13" s="7"/>
      <c r="L13" s="7"/>
      <c r="M13" s="7"/>
      <c r="N13" s="7"/>
      <c r="O13" s="262" t="s">
        <v>340</v>
      </c>
      <c r="P13" s="290">
        <v>0.2</v>
      </c>
      <c r="Q13" s="237" t="s">
        <v>346</v>
      </c>
      <c r="R13" s="291"/>
      <c r="S13" s="7"/>
      <c r="T13" s="7"/>
      <c r="U13" s="7"/>
      <c r="V13" s="7"/>
      <c r="W13" s="7"/>
      <c r="X13" s="7"/>
      <c r="Y13" s="7"/>
    </row>
    <row r="14" spans="1:25">
      <c r="A14" s="7"/>
      <c r="B14" s="631" t="s">
        <v>347</v>
      </c>
      <c r="C14" s="572"/>
      <c r="D14" s="292"/>
      <c r="E14" s="292"/>
      <c r="F14" s="293"/>
      <c r="G14" s="293"/>
      <c r="H14" s="293"/>
      <c r="I14" s="293"/>
      <c r="J14" s="293"/>
      <c r="K14" s="293"/>
      <c r="L14" s="294"/>
      <c r="M14" s="7"/>
      <c r="N14" s="7"/>
      <c r="O14" s="636" t="s">
        <v>348</v>
      </c>
      <c r="P14" s="636"/>
      <c r="Q14" s="636"/>
      <c r="R14" s="636"/>
      <c r="S14" s="7"/>
      <c r="T14" s="7"/>
      <c r="U14" s="7"/>
      <c r="V14" s="7"/>
      <c r="W14" s="7"/>
      <c r="X14" s="7"/>
      <c r="Y14" s="7"/>
    </row>
    <row r="15" spans="1:25" ht="15" customHeight="1">
      <c r="A15" s="7"/>
      <c r="B15" s="577"/>
      <c r="C15" s="579"/>
      <c r="D15" s="295"/>
      <c r="E15" s="295"/>
      <c r="F15" s="30"/>
      <c r="G15" s="30"/>
      <c r="H15" s="30"/>
      <c r="I15" s="7"/>
      <c r="J15" s="7"/>
      <c r="K15" s="7"/>
      <c r="L15" s="7"/>
      <c r="M15" s="7"/>
      <c r="O15" s="605"/>
      <c r="P15" s="605"/>
      <c r="Q15" s="605"/>
      <c r="R15" s="605"/>
      <c r="S15" s="7"/>
      <c r="T15" s="7"/>
      <c r="U15" s="7"/>
      <c r="V15" s="7"/>
      <c r="W15" s="7"/>
      <c r="X15" s="7"/>
      <c r="Y15" s="7"/>
    </row>
    <row r="16" spans="1:25">
      <c r="A16" s="7"/>
      <c r="B16" s="577"/>
      <c r="C16" s="579"/>
      <c r="D16" s="296"/>
      <c r="E16" s="296"/>
      <c r="F16" s="30"/>
      <c r="G16" s="30"/>
      <c r="H16" s="30"/>
      <c r="I16" s="7"/>
      <c r="J16" s="7"/>
      <c r="K16" s="7"/>
      <c r="L16" s="7"/>
      <c r="M16" s="7"/>
      <c r="O16" s="532"/>
      <c r="P16" s="539"/>
      <c r="Q16" s="539"/>
      <c r="R16" s="532"/>
      <c r="S16" s="7"/>
      <c r="T16" s="7"/>
      <c r="U16" s="7"/>
      <c r="V16" s="7"/>
      <c r="W16" s="7"/>
      <c r="X16" s="7"/>
      <c r="Y16" s="7"/>
    </row>
    <row r="17" spans="1:25">
      <c r="A17" s="7"/>
      <c r="B17" s="577"/>
      <c r="C17" s="579"/>
      <c r="D17" s="30"/>
      <c r="E17" s="30"/>
      <c r="F17" s="30"/>
      <c r="G17" s="30"/>
      <c r="H17" s="30"/>
      <c r="I17" s="7"/>
      <c r="J17" s="7"/>
      <c r="K17" s="7"/>
      <c r="L17" s="7"/>
      <c r="M17" s="7"/>
      <c r="O17" s="532"/>
      <c r="P17" s="532"/>
      <c r="Q17" s="532"/>
      <c r="R17" s="532"/>
      <c r="S17" s="7"/>
      <c r="T17" s="7"/>
      <c r="U17" s="7"/>
      <c r="V17" s="7"/>
      <c r="W17" s="7"/>
      <c r="X17" s="7"/>
      <c r="Y17" s="7"/>
    </row>
    <row r="18" spans="1:25">
      <c r="A18" s="7"/>
      <c r="B18" s="573"/>
      <c r="C18" s="575"/>
      <c r="D18" s="30"/>
      <c r="E18" s="30"/>
      <c r="F18" s="30"/>
      <c r="G18" s="30"/>
      <c r="H18" s="30"/>
      <c r="I18" s="7"/>
      <c r="J18" s="7"/>
      <c r="K18" s="7"/>
      <c r="L18" s="7"/>
      <c r="M18" s="7"/>
      <c r="N18" s="7"/>
      <c r="O18" s="7"/>
      <c r="P18" s="7"/>
      <c r="Q18" s="7"/>
      <c r="R18" s="7"/>
      <c r="S18" s="7"/>
      <c r="T18" s="7"/>
      <c r="U18" s="7"/>
      <c r="V18" s="7"/>
      <c r="W18" s="7"/>
      <c r="X18" s="7"/>
      <c r="Y18" s="7"/>
    </row>
    <row r="19" spans="1:25" ht="15.75" customHeight="1">
      <c r="A19" s="7"/>
      <c r="B19" s="7"/>
      <c r="C19" s="30"/>
      <c r="D19" s="30"/>
      <c r="E19" s="30"/>
      <c r="F19" s="30"/>
      <c r="G19" s="30"/>
      <c r="H19" s="30"/>
      <c r="I19" s="7"/>
      <c r="J19" s="7"/>
      <c r="K19" s="7"/>
      <c r="L19" s="7"/>
      <c r="M19" s="7"/>
      <c r="N19" s="7"/>
      <c r="O19" s="7"/>
      <c r="P19" s="7"/>
      <c r="Q19" s="7"/>
      <c r="R19" s="7"/>
      <c r="S19" s="7"/>
      <c r="T19" s="7"/>
      <c r="U19" s="7"/>
      <c r="V19" s="7"/>
      <c r="W19" s="7"/>
      <c r="X19" s="7"/>
      <c r="Y19" s="7"/>
    </row>
    <row r="20" spans="1:25" ht="15.75" customHeight="1">
      <c r="A20" s="7"/>
      <c r="B20" s="7"/>
      <c r="C20" s="30"/>
      <c r="D20" s="30"/>
      <c r="E20" s="30"/>
      <c r="F20" s="30"/>
      <c r="G20" s="30"/>
      <c r="H20" s="30"/>
      <c r="I20" s="7"/>
      <c r="J20" s="7"/>
      <c r="K20" s="7"/>
      <c r="L20" s="7"/>
      <c r="M20" s="7"/>
      <c r="N20" s="7"/>
      <c r="O20" s="7"/>
      <c r="P20" s="7"/>
      <c r="Q20" s="7"/>
      <c r="R20" s="7"/>
      <c r="S20" s="7"/>
      <c r="T20" s="7"/>
      <c r="U20" s="7"/>
      <c r="V20" s="7"/>
      <c r="W20" s="7"/>
      <c r="X20" s="7"/>
      <c r="Y20" s="7"/>
    </row>
    <row r="21" spans="1:25" ht="15.75" customHeight="1">
      <c r="A21" s="7"/>
      <c r="B21" s="7"/>
      <c r="C21" s="30"/>
      <c r="D21" s="30"/>
      <c r="E21" s="30"/>
      <c r="F21" s="30"/>
      <c r="G21" s="30"/>
      <c r="H21" s="30"/>
      <c r="I21" s="7"/>
      <c r="J21" s="7"/>
      <c r="K21" s="7"/>
      <c r="L21" s="7"/>
      <c r="M21" s="7"/>
      <c r="N21" s="7"/>
      <c r="O21" s="7"/>
      <c r="P21" s="7"/>
      <c r="Q21" s="7"/>
      <c r="R21" s="7"/>
      <c r="S21" s="7"/>
      <c r="T21" s="7"/>
      <c r="U21" s="7"/>
      <c r="V21" s="7"/>
      <c r="W21" s="7"/>
      <c r="X21" s="7"/>
      <c r="Y21" s="7"/>
    </row>
    <row r="22" spans="1:25" ht="15.75" customHeight="1">
      <c r="A22" s="7"/>
      <c r="B22" s="7"/>
      <c r="C22" s="30"/>
      <c r="D22" s="30"/>
      <c r="E22" s="30"/>
      <c r="F22" s="30"/>
      <c r="G22" s="30"/>
      <c r="H22" s="30"/>
      <c r="I22" s="7"/>
      <c r="J22" s="7"/>
      <c r="K22" s="7"/>
      <c r="L22" s="7"/>
      <c r="M22" s="7"/>
      <c r="N22" s="7"/>
      <c r="S22" s="7"/>
      <c r="T22" s="7"/>
      <c r="U22" s="7"/>
      <c r="V22" s="7"/>
      <c r="W22" s="7"/>
      <c r="X22" s="7"/>
      <c r="Y22" s="7"/>
    </row>
    <row r="23" spans="1:25" ht="15.75" customHeight="1">
      <c r="A23" s="7"/>
      <c r="B23" s="7"/>
      <c r="C23" s="30"/>
      <c r="D23" s="30"/>
      <c r="E23" s="30"/>
      <c r="F23" s="30"/>
      <c r="G23" s="30"/>
      <c r="H23" s="30"/>
      <c r="I23" s="7"/>
      <c r="J23" s="7"/>
      <c r="K23" s="7"/>
      <c r="L23" s="7"/>
      <c r="M23" s="7"/>
      <c r="N23" s="7"/>
      <c r="S23" s="7"/>
      <c r="T23" s="7"/>
      <c r="U23" s="7"/>
      <c r="V23" s="7"/>
      <c r="W23" s="7"/>
      <c r="X23" s="7"/>
      <c r="Y23" s="7"/>
    </row>
    <row r="24" spans="1:25" ht="15.75" customHeight="1">
      <c r="A24" s="7"/>
      <c r="B24" s="7"/>
      <c r="C24" s="30"/>
      <c r="D24" s="30"/>
      <c r="E24" s="30"/>
      <c r="F24" s="30"/>
      <c r="G24" s="30"/>
      <c r="H24" s="30"/>
      <c r="I24" s="7"/>
      <c r="J24" s="7"/>
      <c r="K24" s="7"/>
      <c r="L24" s="7"/>
      <c r="M24" s="7"/>
      <c r="N24" s="7"/>
      <c r="S24" s="7"/>
      <c r="T24" s="7"/>
      <c r="U24" s="7"/>
      <c r="V24" s="7"/>
      <c r="W24" s="7"/>
      <c r="X24" s="7"/>
      <c r="Y24" s="7"/>
    </row>
    <row r="25" spans="1:25" ht="15.75" customHeight="1">
      <c r="A25" s="7"/>
      <c r="B25" s="7"/>
      <c r="C25" s="30"/>
      <c r="D25" s="30"/>
      <c r="E25" s="30"/>
      <c r="F25" s="30"/>
      <c r="G25" s="30"/>
      <c r="H25" s="30"/>
      <c r="I25" s="7"/>
      <c r="J25" s="7"/>
      <c r="K25" s="7"/>
      <c r="L25" s="7"/>
      <c r="M25" s="7"/>
      <c r="N25" s="7"/>
      <c r="O25" s="7"/>
      <c r="P25" s="7"/>
      <c r="Q25" s="7"/>
      <c r="R25" s="7"/>
      <c r="S25" s="7"/>
      <c r="T25" s="7"/>
      <c r="U25" s="7"/>
      <c r="V25" s="7"/>
      <c r="W25" s="7"/>
      <c r="X25" s="7"/>
      <c r="Y25" s="7"/>
    </row>
    <row r="26" spans="1:25" ht="15.75" customHeight="1">
      <c r="A26" s="7"/>
      <c r="B26" s="7"/>
      <c r="C26" s="30"/>
      <c r="D26" s="30"/>
      <c r="E26" s="30"/>
      <c r="F26" s="30"/>
      <c r="G26" s="30"/>
      <c r="H26" s="30"/>
      <c r="I26" s="7"/>
      <c r="J26" s="7"/>
      <c r="K26" s="7"/>
      <c r="L26" s="7"/>
      <c r="M26" s="7"/>
      <c r="N26" s="7"/>
      <c r="O26" s="7"/>
      <c r="P26" s="7"/>
      <c r="Q26" s="7"/>
      <c r="R26" s="7"/>
      <c r="S26" s="7"/>
      <c r="T26" s="7"/>
      <c r="U26" s="7"/>
      <c r="V26" s="7"/>
      <c r="W26" s="7"/>
      <c r="X26" s="7"/>
      <c r="Y26" s="7"/>
    </row>
    <row r="27" spans="1:25" ht="15.75" customHeight="1">
      <c r="A27" s="7"/>
      <c r="B27" s="7"/>
      <c r="C27" s="30"/>
      <c r="D27" s="30"/>
      <c r="E27" s="30"/>
      <c r="F27" s="30"/>
      <c r="G27" s="30"/>
      <c r="H27" s="30"/>
      <c r="I27" s="7"/>
      <c r="J27" s="7"/>
      <c r="K27" s="7"/>
      <c r="L27" s="7"/>
      <c r="M27" s="7"/>
      <c r="N27" s="7"/>
      <c r="O27" s="7"/>
      <c r="P27" s="7"/>
      <c r="Q27" s="7"/>
      <c r="R27" s="7"/>
      <c r="S27" s="7"/>
      <c r="T27" s="7"/>
      <c r="U27" s="7"/>
      <c r="V27" s="7"/>
      <c r="W27" s="7"/>
      <c r="X27" s="7"/>
      <c r="Y27" s="7"/>
    </row>
    <row r="28" spans="1:25" ht="15.75" customHeight="1">
      <c r="A28" s="7"/>
      <c r="B28" s="7"/>
      <c r="C28" s="30"/>
      <c r="D28" s="30"/>
      <c r="E28" s="30"/>
      <c r="F28" s="30"/>
      <c r="G28" s="30"/>
      <c r="H28" s="30"/>
      <c r="I28" s="7"/>
      <c r="J28" s="7"/>
      <c r="K28" s="7"/>
      <c r="L28" s="7"/>
      <c r="M28" s="7"/>
      <c r="N28" s="7"/>
      <c r="O28" s="7"/>
      <c r="P28" s="7"/>
      <c r="Q28" s="7"/>
      <c r="R28" s="7"/>
      <c r="S28" s="7"/>
      <c r="T28" s="7"/>
      <c r="U28" s="7"/>
      <c r="V28" s="7"/>
      <c r="W28" s="7"/>
      <c r="X28" s="7"/>
      <c r="Y28" s="7"/>
    </row>
    <row r="29" spans="1:25" ht="15.75" customHeight="1">
      <c r="A29" s="7"/>
      <c r="B29" s="7"/>
      <c r="C29" s="30"/>
      <c r="D29" s="30"/>
      <c r="E29" s="30"/>
      <c r="F29" s="30"/>
      <c r="G29" s="30"/>
      <c r="H29" s="30"/>
      <c r="I29" s="7"/>
      <c r="J29" s="7"/>
      <c r="K29" s="7"/>
      <c r="L29" s="7"/>
      <c r="M29" s="7"/>
      <c r="N29" s="7"/>
      <c r="O29" s="7"/>
      <c r="P29" s="7"/>
      <c r="Q29" s="7"/>
      <c r="R29" s="7"/>
      <c r="S29" s="7"/>
      <c r="T29" s="7"/>
      <c r="U29" s="7"/>
      <c r="V29" s="7"/>
      <c r="W29" s="7"/>
      <c r="X29" s="7"/>
      <c r="Y29" s="7"/>
    </row>
    <row r="30" spans="1:25" ht="15.75" customHeight="1">
      <c r="A30" s="7"/>
      <c r="B30" s="7"/>
      <c r="C30" s="30"/>
      <c r="D30" s="30"/>
      <c r="E30" s="30"/>
      <c r="F30" s="30"/>
      <c r="G30" s="30"/>
      <c r="H30" s="30"/>
      <c r="I30" s="7"/>
      <c r="J30" s="7"/>
      <c r="K30" s="7"/>
      <c r="L30" s="7"/>
      <c r="M30" s="7"/>
      <c r="N30" s="7"/>
      <c r="O30" s="7"/>
      <c r="P30" s="7"/>
      <c r="Q30" s="7"/>
      <c r="R30" s="7"/>
      <c r="S30" s="7"/>
      <c r="T30" s="7"/>
      <c r="U30" s="7"/>
      <c r="V30" s="7"/>
      <c r="W30" s="7"/>
      <c r="X30" s="7"/>
      <c r="Y30" s="7"/>
    </row>
    <row r="31" spans="1:25" ht="15.75" customHeight="1">
      <c r="A31" s="7"/>
      <c r="B31" s="7"/>
      <c r="C31" s="30"/>
      <c r="D31" s="30"/>
      <c r="E31" s="30"/>
      <c r="F31" s="30"/>
      <c r="G31" s="30"/>
      <c r="H31" s="30"/>
      <c r="I31" s="7"/>
      <c r="J31" s="7"/>
      <c r="K31" s="7"/>
      <c r="L31" s="7"/>
      <c r="M31" s="7"/>
      <c r="N31" s="7"/>
      <c r="O31" s="7"/>
      <c r="P31" s="7"/>
      <c r="Q31" s="7"/>
      <c r="R31" s="7"/>
      <c r="S31" s="7"/>
      <c r="T31" s="7"/>
      <c r="U31" s="7"/>
      <c r="V31" s="7"/>
      <c r="W31" s="7"/>
      <c r="X31" s="7"/>
      <c r="Y31" s="7"/>
    </row>
    <row r="32" spans="1:25" ht="15.75" customHeight="1">
      <c r="A32" s="7"/>
      <c r="B32" s="7"/>
      <c r="C32" s="30"/>
      <c r="D32" s="30"/>
      <c r="E32" s="30"/>
      <c r="F32" s="30"/>
      <c r="G32" s="30"/>
      <c r="H32" s="30"/>
      <c r="I32" s="7"/>
      <c r="J32" s="7"/>
      <c r="K32" s="7"/>
      <c r="L32" s="7"/>
      <c r="M32" s="7"/>
      <c r="N32" s="7"/>
      <c r="O32" s="7"/>
      <c r="P32" s="7"/>
      <c r="Q32" s="7"/>
      <c r="R32" s="7"/>
      <c r="S32" s="7"/>
      <c r="T32" s="7"/>
      <c r="U32" s="7"/>
      <c r="V32" s="7"/>
      <c r="W32" s="7"/>
      <c r="X32" s="7"/>
      <c r="Y32" s="7"/>
    </row>
    <row r="33" spans="1:25" ht="15.75" customHeight="1">
      <c r="A33" s="7"/>
      <c r="B33" s="7"/>
      <c r="C33" s="30"/>
      <c r="D33" s="30"/>
      <c r="E33" s="30"/>
      <c r="F33" s="30"/>
      <c r="G33" s="30"/>
      <c r="H33" s="30"/>
      <c r="I33" s="7"/>
      <c r="J33" s="7"/>
      <c r="K33" s="7"/>
      <c r="L33" s="7"/>
      <c r="M33" s="7"/>
      <c r="N33" s="7"/>
      <c r="O33" s="7"/>
      <c r="P33" s="7"/>
      <c r="Q33" s="7"/>
      <c r="R33" s="7"/>
      <c r="S33" s="7"/>
      <c r="T33" s="7"/>
      <c r="U33" s="7"/>
      <c r="V33" s="7"/>
      <c r="W33" s="7"/>
      <c r="X33" s="7"/>
      <c r="Y33" s="7"/>
    </row>
    <row r="34" spans="1:25" ht="15.75" customHeight="1">
      <c r="A34" s="7"/>
      <c r="B34" s="7"/>
      <c r="C34" s="30"/>
      <c r="D34" s="30"/>
      <c r="E34" s="30"/>
      <c r="F34" s="30"/>
      <c r="G34" s="30"/>
      <c r="H34" s="30"/>
      <c r="I34" s="7"/>
      <c r="J34" s="7"/>
      <c r="K34" s="7"/>
      <c r="L34" s="7"/>
      <c r="M34" s="7"/>
      <c r="N34" s="7"/>
      <c r="O34" s="7"/>
      <c r="P34" s="7"/>
      <c r="Q34" s="7"/>
      <c r="R34" s="7"/>
      <c r="S34" s="7"/>
      <c r="T34" s="7"/>
      <c r="U34" s="7"/>
      <c r="V34" s="7"/>
      <c r="W34" s="7"/>
      <c r="X34" s="7"/>
      <c r="Y34" s="7"/>
    </row>
    <row r="35" spans="1:25" ht="15.75" customHeight="1">
      <c r="A35" s="7"/>
      <c r="B35" s="7"/>
      <c r="C35" s="30"/>
      <c r="D35" s="30"/>
      <c r="E35" s="30"/>
      <c r="F35" s="30"/>
      <c r="G35" s="30"/>
      <c r="H35" s="30"/>
      <c r="I35" s="7"/>
      <c r="J35" s="7"/>
      <c r="K35" s="7"/>
      <c r="L35" s="7"/>
      <c r="M35" s="7"/>
      <c r="N35" s="7"/>
      <c r="O35" s="7"/>
      <c r="P35" s="7"/>
      <c r="Q35" s="7"/>
      <c r="R35" s="7"/>
      <c r="S35" s="7"/>
      <c r="T35" s="7"/>
      <c r="U35" s="7"/>
      <c r="V35" s="7"/>
      <c r="W35" s="7"/>
      <c r="X35" s="7"/>
      <c r="Y35" s="7"/>
    </row>
    <row r="36" spans="1:25" ht="15.75" customHeight="1">
      <c r="A36" s="7"/>
      <c r="B36" s="7"/>
      <c r="C36" s="30"/>
      <c r="D36" s="30"/>
      <c r="E36" s="30"/>
      <c r="F36" s="30"/>
      <c r="G36" s="30"/>
      <c r="H36" s="30"/>
      <c r="I36" s="7"/>
      <c r="J36" s="7"/>
      <c r="K36" s="7"/>
      <c r="L36" s="7"/>
      <c r="M36" s="7"/>
      <c r="N36" s="7"/>
      <c r="O36" s="7"/>
      <c r="P36" s="7"/>
      <c r="Q36" s="7"/>
      <c r="R36" s="7"/>
      <c r="S36" s="7"/>
      <c r="T36" s="7"/>
      <c r="U36" s="7"/>
      <c r="V36" s="7"/>
      <c r="W36" s="7"/>
      <c r="X36" s="7"/>
      <c r="Y36" s="7"/>
    </row>
    <row r="37" spans="1:25" ht="15.75" customHeight="1">
      <c r="A37" s="7"/>
      <c r="B37" s="7"/>
      <c r="C37" s="30"/>
      <c r="D37" s="30"/>
      <c r="E37" s="30"/>
      <c r="F37" s="30"/>
      <c r="G37" s="30"/>
      <c r="H37" s="30"/>
      <c r="I37" s="7"/>
      <c r="J37" s="7"/>
      <c r="K37" s="7"/>
      <c r="L37" s="7"/>
      <c r="M37" s="7"/>
      <c r="N37" s="7"/>
      <c r="O37" s="7"/>
      <c r="P37" s="7"/>
      <c r="Q37" s="7"/>
      <c r="R37" s="7"/>
      <c r="S37" s="7"/>
      <c r="T37" s="7"/>
      <c r="U37" s="7"/>
      <c r="V37" s="7"/>
      <c r="W37" s="7"/>
      <c r="X37" s="7"/>
      <c r="Y37" s="7"/>
    </row>
    <row r="38" spans="1:25" ht="15.75" customHeight="1">
      <c r="A38" s="7"/>
      <c r="B38" s="7"/>
      <c r="C38" s="30"/>
      <c r="D38" s="30"/>
      <c r="E38" s="30"/>
      <c r="F38" s="30"/>
      <c r="G38" s="30"/>
      <c r="H38" s="30"/>
      <c r="I38" s="7"/>
      <c r="J38" s="7"/>
      <c r="K38" s="7"/>
      <c r="L38" s="7"/>
      <c r="M38" s="7"/>
      <c r="N38" s="7"/>
      <c r="O38" s="7"/>
      <c r="P38" s="7"/>
      <c r="Q38" s="7"/>
      <c r="R38" s="7"/>
      <c r="S38" s="7"/>
      <c r="T38" s="7"/>
      <c r="U38" s="7"/>
      <c r="V38" s="7"/>
      <c r="W38" s="7"/>
      <c r="X38" s="7"/>
      <c r="Y38" s="7"/>
    </row>
    <row r="39" spans="1:25" ht="15.75" customHeight="1">
      <c r="A39" s="7"/>
      <c r="B39" s="7"/>
      <c r="C39" s="30"/>
      <c r="D39" s="30"/>
      <c r="E39" s="30"/>
      <c r="F39" s="30"/>
      <c r="G39" s="30"/>
      <c r="H39" s="30"/>
      <c r="I39" s="7"/>
      <c r="J39" s="7"/>
      <c r="K39" s="7"/>
      <c r="L39" s="7"/>
      <c r="M39" s="7"/>
      <c r="N39" s="7"/>
      <c r="O39" s="7"/>
      <c r="P39" s="7"/>
      <c r="Q39" s="7"/>
      <c r="R39" s="7"/>
      <c r="S39" s="7"/>
      <c r="T39" s="7"/>
      <c r="U39" s="7"/>
      <c r="V39" s="7"/>
      <c r="W39" s="7"/>
      <c r="X39" s="7"/>
      <c r="Y39" s="7"/>
    </row>
    <row r="40" spans="1:25" ht="15.75" customHeight="1">
      <c r="A40" s="7"/>
      <c r="B40" s="7"/>
      <c r="C40" s="30"/>
      <c r="D40" s="30"/>
      <c r="E40" s="30"/>
      <c r="F40" s="30"/>
      <c r="G40" s="30"/>
      <c r="H40" s="30"/>
      <c r="I40" s="7"/>
      <c r="J40" s="7"/>
      <c r="K40" s="7"/>
      <c r="L40" s="7"/>
      <c r="M40" s="7"/>
      <c r="N40" s="7"/>
      <c r="O40" s="7"/>
      <c r="P40" s="7"/>
      <c r="Q40" s="7"/>
      <c r="R40" s="7"/>
      <c r="S40" s="7"/>
      <c r="T40" s="7"/>
      <c r="U40" s="7"/>
      <c r="V40" s="7"/>
      <c r="W40" s="7"/>
      <c r="X40" s="7"/>
      <c r="Y40" s="7"/>
    </row>
    <row r="41" spans="1:25" ht="15.75" customHeight="1">
      <c r="A41" s="7"/>
      <c r="B41" s="7"/>
      <c r="C41" s="30"/>
      <c r="D41" s="30"/>
      <c r="E41" s="30"/>
      <c r="F41" s="30"/>
      <c r="G41" s="30"/>
      <c r="H41" s="30"/>
      <c r="I41" s="7"/>
      <c r="J41" s="7"/>
      <c r="K41" s="7"/>
      <c r="L41" s="7"/>
      <c r="M41" s="7"/>
      <c r="N41" s="7"/>
      <c r="O41" s="7"/>
      <c r="P41" s="7"/>
      <c r="Q41" s="7"/>
      <c r="R41" s="7"/>
      <c r="S41" s="7"/>
      <c r="T41" s="7"/>
      <c r="U41" s="7"/>
      <c r="V41" s="7"/>
      <c r="W41" s="7"/>
      <c r="X41" s="7"/>
      <c r="Y41" s="7"/>
    </row>
    <row r="42" spans="1:25" ht="15.75" customHeight="1">
      <c r="A42" s="7"/>
      <c r="B42" s="7"/>
      <c r="C42" s="30"/>
      <c r="D42" s="30"/>
      <c r="E42" s="30"/>
      <c r="F42" s="30"/>
      <c r="G42" s="30"/>
      <c r="H42" s="30"/>
      <c r="I42" s="7"/>
      <c r="J42" s="7"/>
      <c r="K42" s="7"/>
      <c r="L42" s="7"/>
      <c r="M42" s="7"/>
      <c r="N42" s="7"/>
      <c r="O42" s="7"/>
      <c r="P42" s="7"/>
      <c r="Q42" s="7"/>
      <c r="R42" s="7"/>
      <c r="S42" s="7"/>
      <c r="T42" s="7"/>
      <c r="U42" s="7"/>
      <c r="V42" s="7"/>
      <c r="W42" s="7"/>
      <c r="X42" s="7"/>
      <c r="Y42" s="7"/>
    </row>
    <row r="43" spans="1:25" ht="15.75" customHeight="1">
      <c r="A43" s="7"/>
      <c r="B43" s="7"/>
      <c r="C43" s="30"/>
      <c r="D43" s="30"/>
      <c r="E43" s="30"/>
      <c r="F43" s="30"/>
      <c r="G43" s="30"/>
      <c r="H43" s="30"/>
      <c r="I43" s="7"/>
      <c r="J43" s="7"/>
      <c r="K43" s="7"/>
      <c r="L43" s="7"/>
      <c r="M43" s="7"/>
      <c r="N43" s="7"/>
      <c r="O43" s="7"/>
      <c r="P43" s="7"/>
      <c r="Q43" s="7"/>
      <c r="R43" s="7"/>
      <c r="S43" s="7"/>
      <c r="T43" s="7"/>
      <c r="U43" s="7"/>
      <c r="V43" s="7"/>
      <c r="W43" s="7"/>
      <c r="X43" s="7"/>
      <c r="Y43" s="7"/>
    </row>
    <row r="44" spans="1:25" ht="15.75" customHeight="1">
      <c r="A44" s="7"/>
      <c r="B44" s="7"/>
      <c r="C44" s="30"/>
      <c r="D44" s="30"/>
      <c r="E44" s="30"/>
      <c r="F44" s="30"/>
      <c r="G44" s="30"/>
      <c r="H44" s="30"/>
      <c r="I44" s="7"/>
      <c r="J44" s="7"/>
      <c r="K44" s="7"/>
      <c r="L44" s="7"/>
      <c r="M44" s="7"/>
      <c r="N44" s="7"/>
      <c r="O44" s="7"/>
      <c r="P44" s="7"/>
      <c r="Q44" s="7"/>
      <c r="R44" s="7"/>
      <c r="S44" s="7"/>
      <c r="T44" s="7"/>
      <c r="U44" s="7"/>
      <c r="V44" s="7"/>
      <c r="W44" s="7"/>
      <c r="X44" s="7"/>
      <c r="Y44" s="7"/>
    </row>
    <row r="45" spans="1:25" ht="15.75" customHeight="1">
      <c r="A45" s="7"/>
      <c r="B45" s="7"/>
      <c r="C45" s="30"/>
      <c r="D45" s="30"/>
      <c r="E45" s="30"/>
      <c r="F45" s="30"/>
      <c r="G45" s="30"/>
      <c r="H45" s="30"/>
      <c r="I45" s="7"/>
      <c r="J45" s="7"/>
      <c r="K45" s="7"/>
      <c r="L45" s="7"/>
      <c r="M45" s="7"/>
      <c r="N45" s="7"/>
      <c r="O45" s="7"/>
      <c r="P45" s="7"/>
      <c r="Q45" s="7"/>
      <c r="R45" s="7"/>
      <c r="S45" s="7"/>
      <c r="T45" s="7"/>
      <c r="U45" s="7"/>
      <c r="V45" s="7"/>
      <c r="W45" s="7"/>
      <c r="X45" s="7"/>
      <c r="Y45" s="7"/>
    </row>
    <row r="46" spans="1:25" ht="15.75" customHeight="1">
      <c r="A46" s="7"/>
      <c r="B46" s="7"/>
      <c r="C46" s="30"/>
      <c r="D46" s="30"/>
      <c r="E46" s="30"/>
      <c r="F46" s="30"/>
      <c r="G46" s="30"/>
      <c r="H46" s="30"/>
      <c r="I46" s="7"/>
      <c r="J46" s="7"/>
      <c r="K46" s="7"/>
      <c r="L46" s="7"/>
      <c r="M46" s="7"/>
      <c r="N46" s="7"/>
      <c r="O46" s="7"/>
      <c r="P46" s="7"/>
      <c r="Q46" s="7"/>
      <c r="R46" s="7"/>
      <c r="S46" s="7"/>
      <c r="T46" s="7"/>
      <c r="U46" s="7"/>
      <c r="V46" s="7"/>
      <c r="W46" s="7"/>
      <c r="X46" s="7"/>
      <c r="Y46" s="7"/>
    </row>
    <row r="47" spans="1:25" ht="15.75" customHeight="1">
      <c r="A47" s="7"/>
      <c r="B47" s="7"/>
      <c r="C47" s="30"/>
      <c r="D47" s="30"/>
      <c r="E47" s="30"/>
      <c r="F47" s="30"/>
      <c r="G47" s="30"/>
      <c r="H47" s="30"/>
      <c r="I47" s="7"/>
      <c r="J47" s="7"/>
      <c r="K47" s="7"/>
      <c r="L47" s="7"/>
      <c r="M47" s="7"/>
      <c r="N47" s="7"/>
      <c r="O47" s="7"/>
      <c r="P47" s="7"/>
      <c r="Q47" s="7"/>
      <c r="R47" s="7"/>
      <c r="S47" s="7"/>
      <c r="T47" s="7"/>
      <c r="U47" s="7"/>
      <c r="V47" s="7"/>
      <c r="W47" s="7"/>
      <c r="X47" s="7"/>
      <c r="Y47" s="7"/>
    </row>
    <row r="48" spans="1:25" ht="15.75" customHeight="1">
      <c r="A48" s="7"/>
      <c r="B48" s="7"/>
      <c r="C48" s="30"/>
      <c r="D48" s="30"/>
      <c r="E48" s="30"/>
      <c r="F48" s="30"/>
      <c r="G48" s="30"/>
      <c r="H48" s="30"/>
      <c r="I48" s="7"/>
      <c r="J48" s="7"/>
      <c r="K48" s="7"/>
      <c r="L48" s="7"/>
      <c r="M48" s="7"/>
      <c r="N48" s="7"/>
      <c r="O48" s="7"/>
      <c r="P48" s="7"/>
      <c r="Q48" s="7"/>
      <c r="R48" s="7"/>
      <c r="S48" s="7"/>
      <c r="T48" s="7"/>
      <c r="U48" s="7"/>
      <c r="V48" s="7"/>
      <c r="W48" s="7"/>
      <c r="X48" s="7"/>
      <c r="Y48" s="7"/>
    </row>
    <row r="49" spans="1:25" ht="15.75" customHeight="1">
      <c r="A49" s="7"/>
      <c r="B49" s="7"/>
      <c r="C49" s="30"/>
      <c r="D49" s="30"/>
      <c r="E49" s="30"/>
      <c r="F49" s="30"/>
      <c r="G49" s="30"/>
      <c r="H49" s="30"/>
      <c r="I49" s="7"/>
      <c r="J49" s="7"/>
      <c r="K49" s="7"/>
      <c r="L49" s="7"/>
      <c r="M49" s="7"/>
      <c r="N49" s="7"/>
      <c r="O49" s="7"/>
      <c r="P49" s="7"/>
      <c r="Q49" s="7"/>
      <c r="R49" s="7"/>
      <c r="S49" s="7"/>
      <c r="T49" s="7"/>
      <c r="U49" s="7"/>
      <c r="V49" s="7"/>
      <c r="W49" s="7"/>
      <c r="X49" s="7"/>
      <c r="Y49" s="7"/>
    </row>
    <row r="50" spans="1:25" ht="15.75" customHeight="1">
      <c r="A50" s="7"/>
      <c r="B50" s="7"/>
      <c r="C50" s="30"/>
      <c r="D50" s="30"/>
      <c r="E50" s="30"/>
      <c r="F50" s="30"/>
      <c r="G50" s="30"/>
      <c r="H50" s="30"/>
      <c r="I50" s="7"/>
      <c r="J50" s="7"/>
      <c r="K50" s="7"/>
      <c r="L50" s="7"/>
      <c r="M50" s="7"/>
      <c r="N50" s="7"/>
      <c r="O50" s="7"/>
      <c r="P50" s="7"/>
      <c r="Q50" s="7"/>
      <c r="R50" s="7"/>
      <c r="S50" s="7"/>
      <c r="T50" s="7"/>
      <c r="U50" s="7"/>
      <c r="V50" s="7"/>
      <c r="W50" s="7"/>
      <c r="X50" s="7"/>
      <c r="Y50" s="7"/>
    </row>
    <row r="51" spans="1:25" ht="15.75" customHeight="1">
      <c r="A51" s="7"/>
      <c r="B51" s="7"/>
      <c r="C51" s="30"/>
      <c r="D51" s="30"/>
      <c r="E51" s="30"/>
      <c r="F51" s="30"/>
      <c r="G51" s="30"/>
      <c r="H51" s="30"/>
      <c r="I51" s="7"/>
      <c r="J51" s="7"/>
      <c r="K51" s="7"/>
      <c r="L51" s="7"/>
      <c r="M51" s="7"/>
      <c r="N51" s="7"/>
      <c r="O51" s="7"/>
      <c r="P51" s="7"/>
      <c r="Q51" s="7"/>
      <c r="R51" s="7"/>
      <c r="S51" s="7"/>
      <c r="T51" s="7"/>
      <c r="U51" s="7"/>
      <c r="V51" s="7"/>
      <c r="W51" s="7"/>
      <c r="X51" s="7"/>
      <c r="Y51" s="7"/>
    </row>
    <row r="52" spans="1:25" ht="15.75" customHeight="1">
      <c r="A52" s="7"/>
      <c r="B52" s="7"/>
      <c r="C52" s="30"/>
      <c r="D52" s="30"/>
      <c r="E52" s="30"/>
      <c r="F52" s="30"/>
      <c r="G52" s="30"/>
      <c r="H52" s="30"/>
      <c r="I52" s="7"/>
      <c r="J52" s="7"/>
      <c r="K52" s="7"/>
      <c r="L52" s="7"/>
      <c r="M52" s="7"/>
      <c r="N52" s="7"/>
      <c r="O52" s="7"/>
      <c r="P52" s="7"/>
      <c r="Q52" s="7"/>
      <c r="R52" s="7"/>
      <c r="S52" s="7"/>
      <c r="T52" s="7"/>
      <c r="U52" s="7"/>
      <c r="V52" s="7"/>
      <c r="W52" s="7"/>
      <c r="X52" s="7"/>
      <c r="Y52" s="7"/>
    </row>
    <row r="53" spans="1:25" ht="15.75" customHeight="1">
      <c r="A53" s="7"/>
      <c r="B53" s="7"/>
      <c r="C53" s="30"/>
      <c r="D53" s="30"/>
      <c r="E53" s="30"/>
      <c r="F53" s="30"/>
      <c r="G53" s="30"/>
      <c r="H53" s="30"/>
      <c r="I53" s="7"/>
      <c r="J53" s="7"/>
      <c r="K53" s="7"/>
      <c r="L53" s="7"/>
      <c r="M53" s="7"/>
      <c r="N53" s="7"/>
      <c r="O53" s="7"/>
      <c r="P53" s="7"/>
      <c r="Q53" s="7"/>
      <c r="R53" s="7"/>
      <c r="S53" s="7"/>
      <c r="T53" s="7"/>
      <c r="U53" s="7"/>
      <c r="V53" s="7"/>
      <c r="W53" s="7"/>
      <c r="X53" s="7"/>
      <c r="Y53" s="7"/>
    </row>
    <row r="54" spans="1:25" ht="15.75" customHeight="1">
      <c r="A54" s="7"/>
      <c r="B54" s="7"/>
      <c r="C54" s="30"/>
      <c r="D54" s="30"/>
      <c r="E54" s="30"/>
      <c r="F54" s="30"/>
      <c r="G54" s="30"/>
      <c r="H54" s="30"/>
      <c r="I54" s="7"/>
      <c r="J54" s="7"/>
      <c r="K54" s="7"/>
      <c r="L54" s="7"/>
      <c r="M54" s="7"/>
      <c r="N54" s="7"/>
      <c r="O54" s="7"/>
      <c r="P54" s="7"/>
      <c r="Q54" s="7"/>
      <c r="R54" s="7"/>
      <c r="S54" s="7"/>
      <c r="T54" s="7"/>
      <c r="U54" s="7"/>
      <c r="V54" s="7"/>
      <c r="W54" s="7"/>
      <c r="X54" s="7"/>
      <c r="Y54" s="7"/>
    </row>
    <row r="55" spans="1:25" ht="15.75" customHeight="1">
      <c r="A55" s="7"/>
      <c r="B55" s="7"/>
      <c r="C55" s="30"/>
      <c r="D55" s="30"/>
      <c r="E55" s="30"/>
      <c r="F55" s="30"/>
      <c r="G55" s="30"/>
      <c r="H55" s="30"/>
      <c r="I55" s="7"/>
      <c r="J55" s="7"/>
      <c r="K55" s="7"/>
      <c r="L55" s="7"/>
      <c r="M55" s="7"/>
      <c r="N55" s="7"/>
      <c r="O55" s="7"/>
      <c r="P55" s="7"/>
      <c r="Q55" s="7"/>
      <c r="R55" s="7"/>
      <c r="S55" s="7"/>
      <c r="T55" s="7"/>
      <c r="U55" s="7"/>
      <c r="V55" s="7"/>
      <c r="W55" s="7"/>
      <c r="X55" s="7"/>
      <c r="Y55" s="7"/>
    </row>
    <row r="56" spans="1:25" ht="15.75" customHeight="1">
      <c r="A56" s="7"/>
      <c r="B56" s="7"/>
      <c r="C56" s="30"/>
      <c r="D56" s="30"/>
      <c r="E56" s="30"/>
      <c r="F56" s="30"/>
      <c r="G56" s="30"/>
      <c r="H56" s="30"/>
      <c r="I56" s="7"/>
      <c r="J56" s="7"/>
      <c r="K56" s="7"/>
      <c r="L56" s="7"/>
      <c r="M56" s="7"/>
      <c r="N56" s="7"/>
      <c r="O56" s="7"/>
      <c r="P56" s="7"/>
      <c r="Q56" s="7"/>
      <c r="R56" s="7"/>
      <c r="S56" s="7"/>
      <c r="T56" s="7"/>
      <c r="U56" s="7"/>
      <c r="V56" s="7"/>
      <c r="W56" s="7"/>
      <c r="X56" s="7"/>
      <c r="Y56" s="7"/>
    </row>
    <row r="57" spans="1:25" ht="15.75" customHeight="1">
      <c r="A57" s="7"/>
      <c r="B57" s="7"/>
      <c r="C57" s="30"/>
      <c r="D57" s="30"/>
      <c r="E57" s="30"/>
      <c r="F57" s="30"/>
      <c r="G57" s="30"/>
      <c r="H57" s="30"/>
      <c r="I57" s="7"/>
      <c r="J57" s="7"/>
      <c r="K57" s="7"/>
      <c r="L57" s="7"/>
      <c r="M57" s="7"/>
      <c r="N57" s="7"/>
      <c r="O57" s="7"/>
      <c r="P57" s="7"/>
      <c r="Q57" s="7"/>
      <c r="R57" s="7"/>
      <c r="S57" s="7"/>
      <c r="T57" s="7"/>
      <c r="U57" s="7"/>
      <c r="V57" s="7"/>
      <c r="W57" s="7"/>
      <c r="X57" s="7"/>
      <c r="Y57" s="7"/>
    </row>
    <row r="58" spans="1:25" ht="15.75" customHeight="1">
      <c r="A58" s="7"/>
      <c r="B58" s="7"/>
      <c r="C58" s="30"/>
      <c r="D58" s="30"/>
      <c r="E58" s="30"/>
      <c r="F58" s="30"/>
      <c r="G58" s="30"/>
      <c r="H58" s="30"/>
      <c r="I58" s="7"/>
      <c r="J58" s="7"/>
      <c r="K58" s="7"/>
      <c r="L58" s="7"/>
      <c r="M58" s="7"/>
      <c r="N58" s="7"/>
      <c r="O58" s="7"/>
      <c r="P58" s="7"/>
      <c r="Q58" s="7"/>
      <c r="R58" s="7"/>
      <c r="S58" s="7"/>
      <c r="T58" s="7"/>
      <c r="U58" s="7"/>
      <c r="V58" s="7"/>
      <c r="W58" s="7"/>
      <c r="X58" s="7"/>
      <c r="Y58" s="7"/>
    </row>
    <row r="59" spans="1:25" ht="15.75" customHeight="1">
      <c r="A59" s="7"/>
      <c r="B59" s="7"/>
      <c r="C59" s="30"/>
      <c r="D59" s="30"/>
      <c r="E59" s="30"/>
      <c r="F59" s="30"/>
      <c r="G59" s="30"/>
      <c r="H59" s="30"/>
      <c r="I59" s="7"/>
      <c r="J59" s="7"/>
      <c r="K59" s="7"/>
      <c r="L59" s="7"/>
      <c r="M59" s="7"/>
      <c r="N59" s="7"/>
      <c r="O59" s="7"/>
      <c r="P59" s="7"/>
      <c r="Q59" s="7"/>
      <c r="R59" s="7"/>
      <c r="S59" s="7"/>
      <c r="T59" s="7"/>
      <c r="U59" s="7"/>
      <c r="V59" s="7"/>
      <c r="W59" s="7"/>
      <c r="X59" s="7"/>
      <c r="Y59" s="7"/>
    </row>
    <row r="60" spans="1:25" ht="15.75" customHeight="1">
      <c r="A60" s="7"/>
      <c r="B60" s="7"/>
      <c r="C60" s="30"/>
      <c r="D60" s="30"/>
      <c r="E60" s="30"/>
      <c r="F60" s="30"/>
      <c r="G60" s="30"/>
      <c r="H60" s="30"/>
      <c r="I60" s="7"/>
      <c r="J60" s="7"/>
      <c r="K60" s="7"/>
      <c r="L60" s="7"/>
      <c r="M60" s="7"/>
      <c r="N60" s="7"/>
      <c r="O60" s="7"/>
      <c r="P60" s="7"/>
      <c r="Q60" s="7"/>
      <c r="R60" s="7"/>
      <c r="S60" s="7"/>
      <c r="T60" s="7"/>
      <c r="U60" s="7"/>
      <c r="V60" s="7"/>
      <c r="W60" s="7"/>
      <c r="X60" s="7"/>
      <c r="Y60" s="7"/>
    </row>
    <row r="61" spans="1:25" ht="15.75" customHeight="1">
      <c r="A61" s="7"/>
      <c r="B61" s="7"/>
      <c r="C61" s="30"/>
      <c r="D61" s="30"/>
      <c r="E61" s="30"/>
      <c r="F61" s="30"/>
      <c r="G61" s="30"/>
      <c r="H61" s="30"/>
      <c r="I61" s="7"/>
      <c r="J61" s="7"/>
      <c r="K61" s="7"/>
      <c r="L61" s="7"/>
      <c r="M61" s="7"/>
      <c r="N61" s="7"/>
      <c r="O61" s="7"/>
      <c r="P61" s="7"/>
      <c r="Q61" s="7"/>
      <c r="R61" s="7"/>
      <c r="S61" s="7"/>
      <c r="T61" s="7"/>
      <c r="U61" s="7"/>
      <c r="V61" s="7"/>
      <c r="W61" s="7"/>
      <c r="X61" s="7"/>
      <c r="Y61" s="7"/>
    </row>
    <row r="62" spans="1:25" ht="15.75" customHeight="1">
      <c r="A62" s="7"/>
      <c r="B62" s="7"/>
      <c r="C62" s="30"/>
      <c r="D62" s="30"/>
      <c r="E62" s="30"/>
      <c r="F62" s="30"/>
      <c r="G62" s="30"/>
      <c r="H62" s="30"/>
      <c r="I62" s="7"/>
      <c r="J62" s="7"/>
      <c r="K62" s="7"/>
      <c r="L62" s="7"/>
      <c r="M62" s="7"/>
      <c r="N62" s="7"/>
      <c r="O62" s="7"/>
      <c r="P62" s="7"/>
      <c r="Q62" s="7"/>
      <c r="R62" s="7"/>
      <c r="S62" s="7"/>
      <c r="T62" s="7"/>
      <c r="U62" s="7"/>
      <c r="V62" s="7"/>
      <c r="W62" s="7"/>
      <c r="X62" s="7"/>
      <c r="Y62" s="7"/>
    </row>
    <row r="63" spans="1:25" ht="15.75" customHeight="1">
      <c r="A63" s="7"/>
      <c r="B63" s="7"/>
      <c r="C63" s="30"/>
      <c r="D63" s="30"/>
      <c r="E63" s="30"/>
      <c r="F63" s="30"/>
      <c r="G63" s="30"/>
      <c r="H63" s="30"/>
      <c r="I63" s="7"/>
      <c r="J63" s="7"/>
      <c r="K63" s="7"/>
      <c r="L63" s="7"/>
      <c r="M63" s="7"/>
      <c r="N63" s="7"/>
      <c r="O63" s="7"/>
      <c r="P63" s="7"/>
      <c r="Q63" s="7"/>
      <c r="R63" s="7"/>
      <c r="S63" s="7"/>
      <c r="T63" s="7"/>
      <c r="U63" s="7"/>
      <c r="V63" s="7"/>
      <c r="W63" s="7"/>
      <c r="X63" s="7"/>
      <c r="Y63" s="7"/>
    </row>
    <row r="64" spans="1:25" ht="15.75" customHeight="1">
      <c r="A64" s="7"/>
      <c r="B64" s="7"/>
      <c r="C64" s="30"/>
      <c r="D64" s="30"/>
      <c r="E64" s="30"/>
      <c r="F64" s="30"/>
      <c r="G64" s="30"/>
      <c r="H64" s="30"/>
      <c r="I64" s="7"/>
      <c r="J64" s="7"/>
      <c r="K64" s="7"/>
      <c r="L64" s="7"/>
      <c r="M64" s="7"/>
      <c r="N64" s="7"/>
      <c r="O64" s="7"/>
      <c r="P64" s="7"/>
      <c r="Q64" s="7"/>
      <c r="R64" s="7"/>
      <c r="S64" s="7"/>
      <c r="T64" s="7"/>
      <c r="U64" s="7"/>
      <c r="V64" s="7"/>
      <c r="W64" s="7"/>
      <c r="X64" s="7"/>
      <c r="Y64" s="7"/>
    </row>
    <row r="65" spans="1:25" ht="15.75" customHeight="1">
      <c r="A65" s="7"/>
      <c r="B65" s="7"/>
      <c r="C65" s="30"/>
      <c r="D65" s="30"/>
      <c r="E65" s="30"/>
      <c r="F65" s="30"/>
      <c r="G65" s="30"/>
      <c r="H65" s="30"/>
      <c r="I65" s="7"/>
      <c r="J65" s="7"/>
      <c r="K65" s="7"/>
      <c r="L65" s="7"/>
      <c r="M65" s="7"/>
      <c r="N65" s="7"/>
      <c r="O65" s="7"/>
      <c r="P65" s="7"/>
      <c r="Q65" s="7"/>
      <c r="R65" s="7"/>
      <c r="S65" s="7"/>
      <c r="T65" s="7"/>
      <c r="U65" s="7"/>
      <c r="V65" s="7"/>
      <c r="W65" s="7"/>
      <c r="X65" s="7"/>
      <c r="Y65" s="7"/>
    </row>
    <row r="66" spans="1:25" ht="15.75" customHeight="1">
      <c r="A66" s="7"/>
      <c r="B66" s="7"/>
      <c r="C66" s="30"/>
      <c r="D66" s="30"/>
      <c r="E66" s="30"/>
      <c r="F66" s="30"/>
      <c r="G66" s="30"/>
      <c r="H66" s="30"/>
      <c r="I66" s="7"/>
      <c r="J66" s="7"/>
      <c r="K66" s="7"/>
      <c r="L66" s="7"/>
      <c r="M66" s="7"/>
      <c r="N66" s="7"/>
      <c r="O66" s="7"/>
      <c r="P66" s="7"/>
      <c r="Q66" s="7"/>
      <c r="R66" s="7"/>
      <c r="S66" s="7"/>
      <c r="T66" s="7"/>
      <c r="U66" s="7"/>
      <c r="V66" s="7"/>
      <c r="W66" s="7"/>
      <c r="X66" s="7"/>
      <c r="Y66" s="7"/>
    </row>
    <row r="67" spans="1:25" ht="15.75" customHeight="1">
      <c r="A67" s="7"/>
      <c r="B67" s="7"/>
      <c r="C67" s="30"/>
      <c r="D67" s="30"/>
      <c r="E67" s="30"/>
      <c r="F67" s="30"/>
      <c r="G67" s="30"/>
      <c r="H67" s="30"/>
      <c r="I67" s="7"/>
      <c r="J67" s="7"/>
      <c r="K67" s="7"/>
      <c r="L67" s="7"/>
      <c r="M67" s="7"/>
      <c r="N67" s="7"/>
      <c r="O67" s="7"/>
      <c r="P67" s="7"/>
      <c r="Q67" s="7"/>
      <c r="R67" s="7"/>
      <c r="S67" s="7"/>
      <c r="T67" s="7"/>
      <c r="U67" s="7"/>
      <c r="V67" s="7"/>
      <c r="W67" s="7"/>
      <c r="X67" s="7"/>
      <c r="Y67" s="7"/>
    </row>
    <row r="68" spans="1:25" ht="15.75" customHeight="1">
      <c r="A68" s="7"/>
      <c r="B68" s="7"/>
      <c r="C68" s="30"/>
      <c r="D68" s="30"/>
      <c r="E68" s="30"/>
      <c r="F68" s="30"/>
      <c r="G68" s="30"/>
      <c r="H68" s="30"/>
      <c r="I68" s="7"/>
      <c r="J68" s="7"/>
      <c r="K68" s="7"/>
      <c r="L68" s="7"/>
      <c r="M68" s="7"/>
      <c r="N68" s="7"/>
      <c r="O68" s="7"/>
      <c r="P68" s="7"/>
      <c r="Q68" s="7"/>
      <c r="R68" s="7"/>
      <c r="S68" s="7"/>
      <c r="T68" s="7"/>
      <c r="U68" s="7"/>
      <c r="V68" s="7"/>
      <c r="W68" s="7"/>
      <c r="X68" s="7"/>
      <c r="Y68" s="7"/>
    </row>
    <row r="69" spans="1:25" ht="15.75" customHeight="1">
      <c r="A69" s="7"/>
      <c r="B69" s="7"/>
      <c r="C69" s="30"/>
      <c r="D69" s="30"/>
      <c r="E69" s="30"/>
      <c r="F69" s="30"/>
      <c r="G69" s="30"/>
      <c r="H69" s="30"/>
      <c r="I69" s="7"/>
      <c r="J69" s="7"/>
      <c r="K69" s="7"/>
      <c r="L69" s="7"/>
      <c r="M69" s="7"/>
      <c r="N69" s="7"/>
      <c r="O69" s="7"/>
      <c r="P69" s="7"/>
      <c r="Q69" s="7"/>
      <c r="R69" s="7"/>
      <c r="S69" s="7"/>
      <c r="T69" s="7"/>
      <c r="U69" s="7"/>
      <c r="V69" s="7"/>
      <c r="W69" s="7"/>
      <c r="X69" s="7"/>
      <c r="Y69" s="7"/>
    </row>
    <row r="70" spans="1:25" ht="15.75" customHeight="1">
      <c r="A70" s="7"/>
      <c r="B70" s="7"/>
      <c r="C70" s="30"/>
      <c r="D70" s="30"/>
      <c r="E70" s="30"/>
      <c r="F70" s="30"/>
      <c r="G70" s="30"/>
      <c r="H70" s="30"/>
      <c r="I70" s="7"/>
      <c r="J70" s="7"/>
      <c r="K70" s="7"/>
      <c r="L70" s="7"/>
      <c r="M70" s="7"/>
      <c r="N70" s="7"/>
      <c r="O70" s="7"/>
      <c r="P70" s="7"/>
      <c r="Q70" s="7"/>
      <c r="R70" s="7"/>
      <c r="S70" s="7"/>
      <c r="T70" s="7"/>
      <c r="U70" s="7"/>
      <c r="V70" s="7"/>
      <c r="W70" s="7"/>
      <c r="X70" s="7"/>
      <c r="Y70" s="7"/>
    </row>
    <row r="71" spans="1:25" ht="15.75" customHeight="1">
      <c r="A71" s="7"/>
      <c r="B71" s="7"/>
      <c r="C71" s="30"/>
      <c r="D71" s="30"/>
      <c r="E71" s="30"/>
      <c r="F71" s="30"/>
      <c r="G71" s="30"/>
      <c r="H71" s="30"/>
      <c r="I71" s="7"/>
      <c r="J71" s="7"/>
      <c r="K71" s="7"/>
      <c r="L71" s="7"/>
      <c r="M71" s="7"/>
      <c r="N71" s="7"/>
      <c r="O71" s="7"/>
      <c r="P71" s="7"/>
      <c r="Q71" s="7"/>
      <c r="R71" s="7"/>
      <c r="S71" s="7"/>
      <c r="T71" s="7"/>
      <c r="U71" s="7"/>
      <c r="V71" s="7"/>
      <c r="W71" s="7"/>
      <c r="X71" s="7"/>
      <c r="Y71" s="7"/>
    </row>
    <row r="72" spans="1:25" ht="15.75" customHeight="1">
      <c r="A72" s="7"/>
      <c r="B72" s="7"/>
      <c r="C72" s="30"/>
      <c r="D72" s="30"/>
      <c r="E72" s="30"/>
      <c r="F72" s="30"/>
      <c r="G72" s="30"/>
      <c r="H72" s="30"/>
      <c r="I72" s="7"/>
      <c r="J72" s="7"/>
      <c r="K72" s="7"/>
      <c r="L72" s="7"/>
      <c r="M72" s="7"/>
      <c r="N72" s="7"/>
      <c r="O72" s="7"/>
      <c r="P72" s="7"/>
      <c r="Q72" s="7"/>
      <c r="R72" s="7"/>
      <c r="S72" s="7"/>
      <c r="T72" s="7"/>
      <c r="U72" s="7"/>
      <c r="V72" s="7"/>
      <c r="W72" s="7"/>
      <c r="X72" s="7"/>
      <c r="Y72" s="7"/>
    </row>
    <row r="73" spans="1:25" ht="15.75" customHeight="1">
      <c r="A73" s="7"/>
      <c r="B73" s="7"/>
      <c r="C73" s="30"/>
      <c r="D73" s="30"/>
      <c r="E73" s="30"/>
      <c r="F73" s="30"/>
      <c r="G73" s="30"/>
      <c r="H73" s="30"/>
      <c r="I73" s="7"/>
      <c r="J73" s="7"/>
      <c r="K73" s="7"/>
      <c r="L73" s="7"/>
      <c r="M73" s="7"/>
      <c r="N73" s="7"/>
      <c r="O73" s="7"/>
      <c r="P73" s="7"/>
      <c r="Q73" s="7"/>
      <c r="R73" s="7"/>
      <c r="S73" s="7"/>
      <c r="T73" s="7"/>
      <c r="U73" s="7"/>
      <c r="V73" s="7"/>
      <c r="W73" s="7"/>
      <c r="X73" s="7"/>
      <c r="Y73" s="7"/>
    </row>
    <row r="74" spans="1:25" ht="15.75" customHeight="1">
      <c r="A74" s="7"/>
      <c r="B74" s="7"/>
      <c r="C74" s="30"/>
      <c r="D74" s="30"/>
      <c r="E74" s="30"/>
      <c r="F74" s="30"/>
      <c r="G74" s="30"/>
      <c r="H74" s="30"/>
      <c r="I74" s="7"/>
      <c r="J74" s="7"/>
      <c r="K74" s="7"/>
      <c r="L74" s="7"/>
      <c r="M74" s="7"/>
      <c r="N74" s="7"/>
      <c r="O74" s="7"/>
      <c r="P74" s="7"/>
      <c r="Q74" s="7"/>
      <c r="R74" s="7"/>
      <c r="S74" s="7"/>
      <c r="T74" s="7"/>
      <c r="U74" s="7"/>
      <c r="V74" s="7"/>
      <c r="W74" s="7"/>
      <c r="X74" s="7"/>
      <c r="Y74" s="7"/>
    </row>
    <row r="75" spans="1:25" ht="15.75" customHeight="1">
      <c r="A75" s="7"/>
      <c r="B75" s="7"/>
      <c r="C75" s="30"/>
      <c r="D75" s="30"/>
      <c r="E75" s="30"/>
      <c r="F75" s="30"/>
      <c r="G75" s="30"/>
      <c r="H75" s="30"/>
      <c r="I75" s="7"/>
      <c r="J75" s="7"/>
      <c r="K75" s="7"/>
      <c r="L75" s="7"/>
      <c r="M75" s="7"/>
      <c r="N75" s="7"/>
      <c r="O75" s="7"/>
      <c r="P75" s="7"/>
      <c r="Q75" s="7"/>
      <c r="R75" s="7"/>
      <c r="S75" s="7"/>
      <c r="T75" s="7"/>
      <c r="U75" s="7"/>
      <c r="V75" s="7"/>
      <c r="W75" s="7"/>
      <c r="X75" s="7"/>
      <c r="Y75" s="7"/>
    </row>
    <row r="76" spans="1:25" ht="15.75" customHeight="1">
      <c r="A76" s="7"/>
      <c r="B76" s="7"/>
      <c r="C76" s="30"/>
      <c r="D76" s="30"/>
      <c r="E76" s="30"/>
      <c r="F76" s="30"/>
      <c r="G76" s="30"/>
      <c r="H76" s="30"/>
      <c r="I76" s="7"/>
      <c r="J76" s="7"/>
      <c r="K76" s="7"/>
      <c r="L76" s="7"/>
      <c r="M76" s="7"/>
      <c r="N76" s="7"/>
      <c r="O76" s="7"/>
      <c r="P76" s="7"/>
      <c r="Q76" s="7"/>
      <c r="R76" s="7"/>
      <c r="S76" s="7"/>
      <c r="T76" s="7"/>
      <c r="U76" s="7"/>
      <c r="V76" s="7"/>
      <c r="W76" s="7"/>
      <c r="X76" s="7"/>
      <c r="Y76" s="7"/>
    </row>
    <row r="77" spans="1:25" ht="15.75" customHeight="1">
      <c r="A77" s="7"/>
      <c r="B77" s="7"/>
      <c r="C77" s="30"/>
      <c r="D77" s="30"/>
      <c r="E77" s="30"/>
      <c r="F77" s="30"/>
      <c r="G77" s="30"/>
      <c r="H77" s="30"/>
      <c r="I77" s="7"/>
      <c r="J77" s="7"/>
      <c r="K77" s="7"/>
      <c r="L77" s="7"/>
      <c r="M77" s="7"/>
      <c r="N77" s="7"/>
      <c r="O77" s="7"/>
      <c r="P77" s="7"/>
      <c r="Q77" s="7"/>
      <c r="R77" s="7"/>
      <c r="S77" s="7"/>
      <c r="T77" s="7"/>
      <c r="U77" s="7"/>
      <c r="V77" s="7"/>
      <c r="W77" s="7"/>
      <c r="X77" s="7"/>
      <c r="Y77" s="7"/>
    </row>
    <row r="78" spans="1:25" ht="15.75" customHeight="1">
      <c r="A78" s="7"/>
      <c r="B78" s="7"/>
      <c r="C78" s="30"/>
      <c r="D78" s="30"/>
      <c r="E78" s="30"/>
      <c r="F78" s="30"/>
      <c r="G78" s="30"/>
      <c r="H78" s="30"/>
      <c r="I78" s="7"/>
      <c r="J78" s="7"/>
      <c r="K78" s="7"/>
      <c r="L78" s="7"/>
      <c r="M78" s="7"/>
      <c r="N78" s="7"/>
      <c r="O78" s="7"/>
      <c r="P78" s="7"/>
      <c r="Q78" s="7"/>
      <c r="R78" s="7"/>
      <c r="S78" s="7"/>
      <c r="T78" s="7"/>
      <c r="U78" s="7"/>
      <c r="V78" s="7"/>
      <c r="W78" s="7"/>
      <c r="X78" s="7"/>
      <c r="Y78" s="7"/>
    </row>
    <row r="79" spans="1:25" ht="15.75" customHeight="1">
      <c r="A79" s="7"/>
      <c r="B79" s="7"/>
      <c r="C79" s="30"/>
      <c r="D79" s="30"/>
      <c r="E79" s="30"/>
      <c r="F79" s="30"/>
      <c r="G79" s="30"/>
      <c r="H79" s="30"/>
      <c r="I79" s="7"/>
      <c r="J79" s="7"/>
      <c r="K79" s="7"/>
      <c r="L79" s="7"/>
      <c r="M79" s="7"/>
      <c r="N79" s="7"/>
      <c r="O79" s="7"/>
      <c r="P79" s="7"/>
      <c r="Q79" s="7"/>
      <c r="R79" s="7"/>
      <c r="S79" s="7"/>
      <c r="T79" s="7"/>
      <c r="U79" s="7"/>
      <c r="V79" s="7"/>
      <c r="W79" s="7"/>
      <c r="X79" s="7"/>
      <c r="Y79" s="7"/>
    </row>
    <row r="80" spans="1:25" ht="15.75" customHeight="1">
      <c r="A80" s="7"/>
      <c r="B80" s="7"/>
      <c r="C80" s="30"/>
      <c r="D80" s="30"/>
      <c r="E80" s="30"/>
      <c r="F80" s="30"/>
      <c r="G80" s="30"/>
      <c r="H80" s="30"/>
      <c r="I80" s="7"/>
      <c r="J80" s="7"/>
      <c r="K80" s="7"/>
      <c r="L80" s="7"/>
      <c r="M80" s="7"/>
      <c r="N80" s="7"/>
      <c r="O80" s="7"/>
      <c r="P80" s="7"/>
      <c r="Q80" s="7"/>
      <c r="R80" s="7"/>
      <c r="S80" s="7"/>
      <c r="T80" s="7"/>
      <c r="U80" s="7"/>
      <c r="V80" s="7"/>
      <c r="W80" s="7"/>
      <c r="X80" s="7"/>
      <c r="Y80" s="7"/>
    </row>
    <row r="81" spans="1:25" ht="15.75" customHeight="1">
      <c r="A81" s="7"/>
      <c r="B81" s="7"/>
      <c r="C81" s="30"/>
      <c r="D81" s="30"/>
      <c r="E81" s="30"/>
      <c r="F81" s="30"/>
      <c r="G81" s="30"/>
      <c r="H81" s="30"/>
      <c r="I81" s="7"/>
      <c r="J81" s="7"/>
      <c r="K81" s="7"/>
      <c r="L81" s="7"/>
      <c r="M81" s="7"/>
      <c r="N81" s="7"/>
      <c r="O81" s="7"/>
      <c r="P81" s="7"/>
      <c r="Q81" s="7"/>
      <c r="R81" s="7"/>
      <c r="S81" s="7"/>
      <c r="T81" s="7"/>
      <c r="U81" s="7"/>
      <c r="V81" s="7"/>
      <c r="W81" s="7"/>
      <c r="X81" s="7"/>
      <c r="Y81" s="7"/>
    </row>
    <row r="82" spans="1:25" ht="15.75" customHeight="1">
      <c r="A82" s="7"/>
      <c r="B82" s="7"/>
      <c r="C82" s="30"/>
      <c r="D82" s="30"/>
      <c r="E82" s="30"/>
      <c r="F82" s="30"/>
      <c r="G82" s="30"/>
      <c r="H82" s="30"/>
      <c r="I82" s="7"/>
      <c r="J82" s="7"/>
      <c r="K82" s="7"/>
      <c r="L82" s="7"/>
      <c r="M82" s="7"/>
      <c r="N82" s="7"/>
      <c r="O82" s="7"/>
      <c r="P82" s="7"/>
      <c r="Q82" s="7"/>
      <c r="R82" s="7"/>
      <c r="S82" s="7"/>
      <c r="T82" s="7"/>
      <c r="U82" s="7"/>
      <c r="V82" s="7"/>
      <c r="W82" s="7"/>
      <c r="X82" s="7"/>
      <c r="Y82" s="7"/>
    </row>
    <row r="83" spans="1:25" ht="15.75" customHeight="1">
      <c r="A83" s="7"/>
      <c r="B83" s="7"/>
      <c r="C83" s="30"/>
      <c r="D83" s="30"/>
      <c r="E83" s="30"/>
      <c r="F83" s="30"/>
      <c r="G83" s="30"/>
      <c r="H83" s="30"/>
      <c r="I83" s="7"/>
      <c r="J83" s="7"/>
      <c r="K83" s="7"/>
      <c r="L83" s="7"/>
      <c r="M83" s="7"/>
      <c r="N83" s="7"/>
      <c r="O83" s="7"/>
      <c r="P83" s="7"/>
      <c r="Q83" s="7"/>
      <c r="R83" s="7"/>
      <c r="S83" s="7"/>
      <c r="T83" s="7"/>
      <c r="U83" s="7"/>
      <c r="V83" s="7"/>
      <c r="W83" s="7"/>
      <c r="X83" s="7"/>
      <c r="Y83" s="7"/>
    </row>
    <row r="84" spans="1:25" ht="15.75" customHeight="1">
      <c r="A84" s="7"/>
      <c r="B84" s="7"/>
      <c r="C84" s="30"/>
      <c r="D84" s="30"/>
      <c r="E84" s="30"/>
      <c r="F84" s="30"/>
      <c r="G84" s="30"/>
      <c r="H84" s="30"/>
      <c r="I84" s="7"/>
      <c r="J84" s="7"/>
      <c r="K84" s="7"/>
      <c r="L84" s="7"/>
      <c r="M84" s="7"/>
      <c r="N84" s="7"/>
      <c r="O84" s="7"/>
      <c r="P84" s="7"/>
      <c r="Q84" s="7"/>
      <c r="R84" s="7"/>
      <c r="S84" s="7"/>
      <c r="T84" s="7"/>
      <c r="U84" s="7"/>
      <c r="V84" s="7"/>
      <c r="W84" s="7"/>
      <c r="X84" s="7"/>
      <c r="Y84" s="7"/>
    </row>
    <row r="85" spans="1:25" ht="15.75" customHeight="1">
      <c r="A85" s="7"/>
      <c r="B85" s="7"/>
      <c r="C85" s="30"/>
      <c r="D85" s="30"/>
      <c r="E85" s="30"/>
      <c r="F85" s="30"/>
      <c r="G85" s="30"/>
      <c r="H85" s="30"/>
      <c r="I85" s="7"/>
      <c r="J85" s="7"/>
      <c r="K85" s="7"/>
      <c r="L85" s="7"/>
      <c r="M85" s="7"/>
      <c r="N85" s="7"/>
      <c r="O85" s="7"/>
      <c r="P85" s="7"/>
      <c r="Q85" s="7"/>
      <c r="R85" s="7"/>
      <c r="S85" s="7"/>
      <c r="T85" s="7"/>
      <c r="U85" s="7"/>
      <c r="V85" s="7"/>
      <c r="W85" s="7"/>
      <c r="X85" s="7"/>
      <c r="Y85" s="7"/>
    </row>
    <row r="86" spans="1:25" ht="15.75" customHeight="1">
      <c r="A86" s="7"/>
      <c r="B86" s="7"/>
      <c r="C86" s="30"/>
      <c r="D86" s="30"/>
      <c r="E86" s="30"/>
      <c r="F86" s="30"/>
      <c r="G86" s="30"/>
      <c r="H86" s="30"/>
      <c r="I86" s="7"/>
      <c r="J86" s="7"/>
      <c r="K86" s="7"/>
      <c r="L86" s="7"/>
      <c r="M86" s="7"/>
      <c r="N86" s="7"/>
      <c r="O86" s="7"/>
      <c r="P86" s="7"/>
      <c r="Q86" s="7"/>
      <c r="R86" s="7"/>
      <c r="S86" s="7"/>
      <c r="T86" s="7"/>
      <c r="U86" s="7"/>
      <c r="V86" s="7"/>
      <c r="W86" s="7"/>
      <c r="X86" s="7"/>
      <c r="Y86" s="7"/>
    </row>
    <row r="87" spans="1:25" ht="15.75" customHeight="1">
      <c r="A87" s="7"/>
      <c r="B87" s="7"/>
      <c r="C87" s="30"/>
      <c r="D87" s="30"/>
      <c r="E87" s="30"/>
      <c r="F87" s="30"/>
      <c r="G87" s="30"/>
      <c r="H87" s="30"/>
      <c r="I87" s="7"/>
      <c r="J87" s="7"/>
      <c r="K87" s="7"/>
      <c r="L87" s="7"/>
      <c r="M87" s="7"/>
      <c r="N87" s="7"/>
      <c r="O87" s="7"/>
      <c r="P87" s="7"/>
      <c r="Q87" s="7"/>
      <c r="R87" s="7"/>
      <c r="S87" s="7"/>
      <c r="T87" s="7"/>
      <c r="U87" s="7"/>
      <c r="V87" s="7"/>
      <c r="W87" s="7"/>
      <c r="X87" s="7"/>
      <c r="Y87" s="7"/>
    </row>
    <row r="88" spans="1:25" ht="15.75" customHeight="1">
      <c r="A88" s="7"/>
      <c r="B88" s="7"/>
      <c r="C88" s="30"/>
      <c r="D88" s="30"/>
      <c r="E88" s="30"/>
      <c r="F88" s="30"/>
      <c r="G88" s="30"/>
      <c r="H88" s="30"/>
      <c r="I88" s="7"/>
      <c r="J88" s="7"/>
      <c r="K88" s="7"/>
      <c r="L88" s="7"/>
      <c r="M88" s="7"/>
      <c r="N88" s="7"/>
      <c r="O88" s="7"/>
      <c r="P88" s="7"/>
      <c r="Q88" s="7"/>
      <c r="R88" s="7"/>
      <c r="S88" s="7"/>
      <c r="T88" s="7"/>
      <c r="U88" s="7"/>
      <c r="V88" s="7"/>
      <c r="W88" s="7"/>
      <c r="X88" s="7"/>
      <c r="Y88" s="7"/>
    </row>
    <row r="89" spans="1:25" ht="15.75" customHeight="1">
      <c r="A89" s="7"/>
      <c r="B89" s="7"/>
      <c r="C89" s="30"/>
      <c r="D89" s="30"/>
      <c r="E89" s="30"/>
      <c r="F89" s="30"/>
      <c r="G89" s="30"/>
      <c r="H89" s="30"/>
      <c r="I89" s="7"/>
      <c r="J89" s="7"/>
      <c r="K89" s="7"/>
      <c r="L89" s="7"/>
      <c r="M89" s="7"/>
      <c r="N89" s="7"/>
      <c r="O89" s="7"/>
      <c r="P89" s="7"/>
      <c r="Q89" s="7"/>
      <c r="R89" s="7"/>
      <c r="S89" s="7"/>
      <c r="T89" s="7"/>
      <c r="U89" s="7"/>
      <c r="V89" s="7"/>
      <c r="W89" s="7"/>
      <c r="X89" s="7"/>
      <c r="Y89" s="7"/>
    </row>
    <row r="90" spans="1:25" ht="15.75" customHeight="1">
      <c r="A90" s="7"/>
      <c r="B90" s="7"/>
      <c r="C90" s="30"/>
      <c r="D90" s="30"/>
      <c r="E90" s="30"/>
      <c r="F90" s="30"/>
      <c r="G90" s="30"/>
      <c r="H90" s="30"/>
      <c r="I90" s="7"/>
      <c r="J90" s="7"/>
      <c r="K90" s="7"/>
      <c r="L90" s="7"/>
      <c r="M90" s="7"/>
      <c r="N90" s="7"/>
      <c r="O90" s="7"/>
      <c r="P90" s="7"/>
      <c r="Q90" s="7"/>
      <c r="R90" s="7"/>
      <c r="S90" s="7"/>
      <c r="T90" s="7"/>
      <c r="U90" s="7"/>
      <c r="V90" s="7"/>
      <c r="W90" s="7"/>
      <c r="X90" s="7"/>
      <c r="Y90" s="7"/>
    </row>
    <row r="91" spans="1:25" ht="15.75" customHeight="1">
      <c r="A91" s="7"/>
      <c r="B91" s="7"/>
      <c r="C91" s="30"/>
      <c r="D91" s="30"/>
      <c r="E91" s="30"/>
      <c r="F91" s="30"/>
      <c r="G91" s="30"/>
      <c r="H91" s="30"/>
      <c r="I91" s="7"/>
      <c r="J91" s="7"/>
      <c r="K91" s="7"/>
      <c r="L91" s="7"/>
      <c r="M91" s="7"/>
      <c r="N91" s="7"/>
      <c r="O91" s="7"/>
      <c r="P91" s="7"/>
      <c r="Q91" s="7"/>
      <c r="R91" s="7"/>
      <c r="S91" s="7"/>
      <c r="T91" s="7"/>
      <c r="U91" s="7"/>
      <c r="V91" s="7"/>
      <c r="W91" s="7"/>
      <c r="X91" s="7"/>
      <c r="Y91" s="7"/>
    </row>
    <row r="92" spans="1:25" ht="15.75" customHeight="1">
      <c r="A92" s="7"/>
      <c r="B92" s="7"/>
      <c r="C92" s="30"/>
      <c r="D92" s="30"/>
      <c r="E92" s="30"/>
      <c r="F92" s="30"/>
      <c r="G92" s="30"/>
      <c r="H92" s="30"/>
      <c r="I92" s="7"/>
      <c r="J92" s="7"/>
      <c r="K92" s="7"/>
      <c r="L92" s="7"/>
      <c r="M92" s="7"/>
      <c r="N92" s="7"/>
      <c r="O92" s="7"/>
      <c r="P92" s="7"/>
      <c r="Q92" s="7"/>
      <c r="R92" s="7"/>
      <c r="S92" s="7"/>
      <c r="T92" s="7"/>
      <c r="U92" s="7"/>
      <c r="V92" s="7"/>
      <c r="W92" s="7"/>
      <c r="X92" s="7"/>
      <c r="Y92" s="7"/>
    </row>
    <row r="93" spans="1:25" ht="15.75" customHeight="1">
      <c r="A93" s="7"/>
      <c r="B93" s="7"/>
      <c r="C93" s="30"/>
      <c r="D93" s="30"/>
      <c r="E93" s="30"/>
      <c r="F93" s="30"/>
      <c r="G93" s="30"/>
      <c r="H93" s="30"/>
      <c r="I93" s="7"/>
      <c r="J93" s="7"/>
      <c r="K93" s="7"/>
      <c r="L93" s="7"/>
      <c r="M93" s="7"/>
      <c r="N93" s="7"/>
      <c r="O93" s="7"/>
      <c r="P93" s="7"/>
      <c r="Q93" s="7"/>
      <c r="R93" s="7"/>
      <c r="S93" s="7"/>
      <c r="T93" s="7"/>
      <c r="U93" s="7"/>
      <c r="V93" s="7"/>
      <c r="W93" s="7"/>
      <c r="X93" s="7"/>
      <c r="Y93" s="7"/>
    </row>
    <row r="94" spans="1:25" ht="15.75" customHeight="1">
      <c r="A94" s="7"/>
      <c r="B94" s="7"/>
      <c r="C94" s="30"/>
      <c r="D94" s="30"/>
      <c r="E94" s="30"/>
      <c r="F94" s="30"/>
      <c r="G94" s="30"/>
      <c r="H94" s="30"/>
      <c r="I94" s="7"/>
      <c r="J94" s="7"/>
      <c r="K94" s="7"/>
      <c r="L94" s="7"/>
      <c r="M94" s="7"/>
      <c r="N94" s="7"/>
      <c r="O94" s="7"/>
      <c r="P94" s="7"/>
      <c r="Q94" s="7"/>
      <c r="R94" s="7"/>
      <c r="S94" s="7"/>
      <c r="T94" s="7"/>
      <c r="U94" s="7"/>
      <c r="V94" s="7"/>
      <c r="W94" s="7"/>
      <c r="X94" s="7"/>
      <c r="Y94" s="7"/>
    </row>
    <row r="95" spans="1:25" ht="15.75" customHeight="1">
      <c r="A95" s="7"/>
      <c r="B95" s="7"/>
      <c r="C95" s="30"/>
      <c r="D95" s="30"/>
      <c r="E95" s="30"/>
      <c r="F95" s="30"/>
      <c r="G95" s="30"/>
      <c r="H95" s="30"/>
      <c r="I95" s="7"/>
      <c r="J95" s="7"/>
      <c r="K95" s="7"/>
      <c r="L95" s="7"/>
      <c r="M95" s="7"/>
      <c r="N95" s="7"/>
      <c r="O95" s="7"/>
      <c r="P95" s="7"/>
      <c r="Q95" s="7"/>
      <c r="R95" s="7"/>
      <c r="S95" s="7"/>
      <c r="T95" s="7"/>
      <c r="U95" s="7"/>
      <c r="V95" s="7"/>
      <c r="W95" s="7"/>
      <c r="X95" s="7"/>
      <c r="Y95" s="7"/>
    </row>
    <row r="96" spans="1:25" ht="15.75" customHeight="1">
      <c r="A96" s="7"/>
      <c r="B96" s="7"/>
      <c r="C96" s="30"/>
      <c r="D96" s="30"/>
      <c r="E96" s="30"/>
      <c r="F96" s="30"/>
      <c r="G96" s="30"/>
      <c r="H96" s="30"/>
      <c r="I96" s="7"/>
      <c r="J96" s="7"/>
      <c r="K96" s="7"/>
      <c r="L96" s="7"/>
      <c r="M96" s="7"/>
      <c r="N96" s="7"/>
      <c r="O96" s="7"/>
      <c r="P96" s="7"/>
      <c r="Q96" s="7"/>
      <c r="R96" s="7"/>
      <c r="S96" s="7"/>
      <c r="T96" s="7"/>
      <c r="U96" s="7"/>
      <c r="V96" s="7"/>
      <c r="W96" s="7"/>
      <c r="X96" s="7"/>
      <c r="Y96" s="7"/>
    </row>
    <row r="97" spans="1:25" ht="15.75" customHeight="1">
      <c r="A97" s="7"/>
      <c r="B97" s="7"/>
      <c r="C97" s="30"/>
      <c r="D97" s="30"/>
      <c r="E97" s="30"/>
      <c r="F97" s="30"/>
      <c r="G97" s="30"/>
      <c r="H97" s="30"/>
      <c r="I97" s="7"/>
      <c r="J97" s="7"/>
      <c r="K97" s="7"/>
      <c r="L97" s="7"/>
      <c r="M97" s="7"/>
      <c r="N97" s="7"/>
      <c r="O97" s="7"/>
      <c r="P97" s="7"/>
      <c r="Q97" s="7"/>
      <c r="R97" s="7"/>
      <c r="S97" s="7"/>
      <c r="T97" s="7"/>
      <c r="U97" s="7"/>
      <c r="V97" s="7"/>
      <c r="W97" s="7"/>
      <c r="X97" s="7"/>
      <c r="Y97" s="7"/>
    </row>
    <row r="98" spans="1:25" ht="15.75" customHeight="1">
      <c r="A98" s="7"/>
      <c r="B98" s="7"/>
      <c r="C98" s="30"/>
      <c r="D98" s="30"/>
      <c r="E98" s="30"/>
      <c r="F98" s="30"/>
      <c r="G98" s="30"/>
      <c r="H98" s="30"/>
      <c r="I98" s="7"/>
      <c r="J98" s="7"/>
      <c r="K98" s="7"/>
      <c r="L98" s="7"/>
      <c r="M98" s="7"/>
      <c r="N98" s="7"/>
      <c r="O98" s="7"/>
      <c r="P98" s="7"/>
      <c r="Q98" s="7"/>
      <c r="R98" s="7"/>
      <c r="S98" s="7"/>
      <c r="T98" s="7"/>
      <c r="U98" s="7"/>
      <c r="V98" s="7"/>
      <c r="W98" s="7"/>
      <c r="X98" s="7"/>
      <c r="Y98" s="7"/>
    </row>
    <row r="99" spans="1:25" ht="15.75" customHeight="1">
      <c r="A99" s="7"/>
      <c r="B99" s="7"/>
      <c r="C99" s="30"/>
      <c r="D99" s="30"/>
      <c r="E99" s="30"/>
      <c r="F99" s="30"/>
      <c r="G99" s="30"/>
      <c r="H99" s="30"/>
      <c r="I99" s="7"/>
      <c r="J99" s="7"/>
      <c r="K99" s="7"/>
      <c r="L99" s="7"/>
      <c r="M99" s="7"/>
      <c r="N99" s="7"/>
      <c r="O99" s="7"/>
      <c r="P99" s="7"/>
      <c r="Q99" s="7"/>
      <c r="R99" s="7"/>
      <c r="S99" s="7"/>
      <c r="T99" s="7"/>
      <c r="U99" s="7"/>
      <c r="V99" s="7"/>
      <c r="W99" s="7"/>
      <c r="X99" s="7"/>
      <c r="Y99" s="7"/>
    </row>
    <row r="100" spans="1:25" ht="15.75" customHeight="1">
      <c r="A100" s="7"/>
      <c r="B100" s="7"/>
      <c r="C100" s="30"/>
      <c r="D100" s="30"/>
      <c r="E100" s="30"/>
      <c r="F100" s="30"/>
      <c r="G100" s="30"/>
      <c r="H100" s="30"/>
      <c r="I100" s="7"/>
      <c r="J100" s="7"/>
      <c r="K100" s="7"/>
      <c r="L100" s="7"/>
      <c r="M100" s="7"/>
      <c r="N100" s="7"/>
      <c r="O100" s="7"/>
      <c r="P100" s="7"/>
      <c r="Q100" s="7"/>
      <c r="R100" s="7"/>
      <c r="S100" s="7"/>
      <c r="T100" s="7"/>
      <c r="U100" s="7"/>
      <c r="V100" s="7"/>
      <c r="W100" s="7"/>
      <c r="X100" s="7"/>
      <c r="Y100" s="7"/>
    </row>
    <row r="101" spans="1:25" ht="15.75" customHeight="1">
      <c r="A101" s="7"/>
      <c r="B101" s="7"/>
      <c r="C101" s="30"/>
      <c r="D101" s="30"/>
      <c r="E101" s="30"/>
      <c r="F101" s="30"/>
      <c r="G101" s="30"/>
      <c r="H101" s="30"/>
      <c r="I101" s="7"/>
      <c r="J101" s="7"/>
      <c r="K101" s="7"/>
      <c r="L101" s="7"/>
      <c r="M101" s="7"/>
      <c r="N101" s="7"/>
      <c r="O101" s="7"/>
      <c r="P101" s="7"/>
      <c r="Q101" s="7"/>
      <c r="R101" s="7"/>
      <c r="S101" s="7"/>
      <c r="T101" s="7"/>
      <c r="U101" s="7"/>
      <c r="V101" s="7"/>
      <c r="W101" s="7"/>
      <c r="X101" s="7"/>
      <c r="Y101" s="7"/>
    </row>
    <row r="102" spans="1:25" ht="15.75" customHeight="1">
      <c r="A102" s="7"/>
      <c r="B102" s="7"/>
      <c r="C102" s="30"/>
      <c r="D102" s="30"/>
      <c r="E102" s="30"/>
      <c r="F102" s="30"/>
      <c r="G102" s="30"/>
      <c r="H102" s="30"/>
      <c r="I102" s="7"/>
      <c r="J102" s="7"/>
      <c r="K102" s="7"/>
      <c r="L102" s="7"/>
      <c r="M102" s="7"/>
      <c r="N102" s="7"/>
      <c r="O102" s="7"/>
      <c r="P102" s="7"/>
      <c r="Q102" s="7"/>
      <c r="R102" s="7"/>
      <c r="S102" s="7"/>
      <c r="T102" s="7"/>
      <c r="U102" s="7"/>
      <c r="V102" s="7"/>
      <c r="W102" s="7"/>
      <c r="X102" s="7"/>
      <c r="Y102" s="7"/>
    </row>
    <row r="103" spans="1:25" ht="15.75" customHeight="1">
      <c r="A103" s="7"/>
      <c r="B103" s="7"/>
      <c r="C103" s="30"/>
      <c r="D103" s="30"/>
      <c r="E103" s="30"/>
      <c r="F103" s="30"/>
      <c r="G103" s="30"/>
      <c r="H103" s="30"/>
      <c r="I103" s="7"/>
      <c r="J103" s="7"/>
      <c r="K103" s="7"/>
      <c r="L103" s="7"/>
      <c r="M103" s="7"/>
      <c r="N103" s="7"/>
      <c r="O103" s="7"/>
      <c r="P103" s="7"/>
      <c r="Q103" s="7"/>
      <c r="R103" s="7"/>
      <c r="S103" s="7"/>
      <c r="T103" s="7"/>
      <c r="U103" s="7"/>
      <c r="V103" s="7"/>
      <c r="W103" s="7"/>
      <c r="X103" s="7"/>
      <c r="Y103" s="7"/>
    </row>
    <row r="104" spans="1:25" ht="15.75" customHeight="1">
      <c r="A104" s="7"/>
      <c r="B104" s="7"/>
      <c r="C104" s="30"/>
      <c r="D104" s="30"/>
      <c r="E104" s="30"/>
      <c r="F104" s="30"/>
      <c r="G104" s="30"/>
      <c r="H104" s="30"/>
      <c r="I104" s="7"/>
      <c r="J104" s="7"/>
      <c r="K104" s="7"/>
      <c r="L104" s="7"/>
      <c r="M104" s="7"/>
      <c r="N104" s="7"/>
      <c r="O104" s="7"/>
      <c r="P104" s="7"/>
      <c r="Q104" s="7"/>
      <c r="R104" s="7"/>
      <c r="S104" s="7"/>
      <c r="T104" s="7"/>
      <c r="U104" s="7"/>
      <c r="V104" s="7"/>
      <c r="W104" s="7"/>
      <c r="X104" s="7"/>
      <c r="Y104" s="7"/>
    </row>
    <row r="105" spans="1:25" ht="15.75" customHeight="1">
      <c r="A105" s="7"/>
      <c r="B105" s="7"/>
      <c r="C105" s="30"/>
      <c r="D105" s="30"/>
      <c r="E105" s="30"/>
      <c r="F105" s="30"/>
      <c r="G105" s="30"/>
      <c r="H105" s="30"/>
      <c r="I105" s="7"/>
      <c r="J105" s="7"/>
      <c r="K105" s="7"/>
      <c r="L105" s="7"/>
      <c r="M105" s="7"/>
      <c r="N105" s="7"/>
      <c r="O105" s="7"/>
      <c r="P105" s="7"/>
      <c r="Q105" s="7"/>
      <c r="R105" s="7"/>
      <c r="S105" s="7"/>
      <c r="T105" s="7"/>
      <c r="U105" s="7"/>
      <c r="V105" s="7"/>
      <c r="W105" s="7"/>
      <c r="X105" s="7"/>
      <c r="Y105" s="7"/>
    </row>
    <row r="106" spans="1:25" ht="15.75" customHeight="1">
      <c r="A106" s="7"/>
      <c r="B106" s="7"/>
      <c r="C106" s="30"/>
      <c r="D106" s="30"/>
      <c r="E106" s="30"/>
      <c r="F106" s="30"/>
      <c r="G106" s="30"/>
      <c r="H106" s="30"/>
      <c r="I106" s="7"/>
      <c r="J106" s="7"/>
      <c r="K106" s="7"/>
      <c r="L106" s="7"/>
      <c r="M106" s="7"/>
      <c r="N106" s="7"/>
      <c r="O106" s="7"/>
      <c r="P106" s="7"/>
      <c r="Q106" s="7"/>
      <c r="R106" s="7"/>
      <c r="S106" s="7"/>
      <c r="T106" s="7"/>
      <c r="U106" s="7"/>
      <c r="V106" s="7"/>
      <c r="W106" s="7"/>
      <c r="X106" s="7"/>
      <c r="Y106" s="7"/>
    </row>
    <row r="107" spans="1:25" ht="15.75" customHeight="1">
      <c r="A107" s="7"/>
      <c r="B107" s="7"/>
      <c r="C107" s="30"/>
      <c r="D107" s="30"/>
      <c r="E107" s="30"/>
      <c r="F107" s="30"/>
      <c r="G107" s="30"/>
      <c r="H107" s="30"/>
      <c r="I107" s="7"/>
      <c r="J107" s="7"/>
      <c r="K107" s="7"/>
      <c r="L107" s="7"/>
      <c r="M107" s="7"/>
      <c r="N107" s="7"/>
      <c r="O107" s="7"/>
      <c r="P107" s="7"/>
      <c r="Q107" s="7"/>
      <c r="R107" s="7"/>
      <c r="S107" s="7"/>
      <c r="T107" s="7"/>
      <c r="U107" s="7"/>
      <c r="V107" s="7"/>
      <c r="W107" s="7"/>
      <c r="X107" s="7"/>
      <c r="Y107" s="7"/>
    </row>
    <row r="108" spans="1:25" ht="15.75" customHeight="1">
      <c r="A108" s="7"/>
      <c r="B108" s="7"/>
      <c r="C108" s="30"/>
      <c r="D108" s="30"/>
      <c r="E108" s="30"/>
      <c r="F108" s="30"/>
      <c r="G108" s="30"/>
      <c r="H108" s="30"/>
      <c r="I108" s="7"/>
      <c r="J108" s="7"/>
      <c r="K108" s="7"/>
      <c r="L108" s="7"/>
      <c r="M108" s="7"/>
      <c r="N108" s="7"/>
      <c r="O108" s="7"/>
      <c r="P108" s="7"/>
      <c r="Q108" s="7"/>
      <c r="R108" s="7"/>
      <c r="S108" s="7"/>
      <c r="T108" s="7"/>
      <c r="U108" s="7"/>
      <c r="V108" s="7"/>
      <c r="W108" s="7"/>
      <c r="X108" s="7"/>
      <c r="Y108" s="7"/>
    </row>
    <row r="109" spans="1:25" ht="15.75" customHeight="1">
      <c r="A109" s="7"/>
      <c r="B109" s="7"/>
      <c r="C109" s="30"/>
      <c r="D109" s="30"/>
      <c r="E109" s="30"/>
      <c r="F109" s="30"/>
      <c r="G109" s="30"/>
      <c r="H109" s="30"/>
      <c r="I109" s="7"/>
      <c r="J109" s="7"/>
      <c r="K109" s="7"/>
      <c r="L109" s="7"/>
      <c r="M109" s="7"/>
      <c r="N109" s="7"/>
      <c r="O109" s="7"/>
      <c r="P109" s="7"/>
      <c r="Q109" s="7"/>
      <c r="R109" s="7"/>
      <c r="S109" s="7"/>
      <c r="T109" s="7"/>
      <c r="U109" s="7"/>
      <c r="V109" s="7"/>
      <c r="W109" s="7"/>
      <c r="X109" s="7"/>
      <c r="Y109" s="7"/>
    </row>
    <row r="110" spans="1:25" ht="15.75" customHeight="1">
      <c r="A110" s="7"/>
      <c r="B110" s="7"/>
      <c r="C110" s="30"/>
      <c r="D110" s="30"/>
      <c r="E110" s="30"/>
      <c r="F110" s="30"/>
      <c r="G110" s="30"/>
      <c r="H110" s="30"/>
      <c r="I110" s="7"/>
      <c r="J110" s="7"/>
      <c r="K110" s="7"/>
      <c r="L110" s="7"/>
      <c r="M110" s="7"/>
      <c r="N110" s="7"/>
      <c r="O110" s="7"/>
      <c r="P110" s="7"/>
      <c r="Q110" s="7"/>
      <c r="R110" s="7"/>
      <c r="S110" s="7"/>
      <c r="T110" s="7"/>
      <c r="U110" s="7"/>
      <c r="V110" s="7"/>
      <c r="W110" s="7"/>
      <c r="X110" s="7"/>
      <c r="Y110" s="7"/>
    </row>
    <row r="111" spans="1:25" ht="15.75" customHeight="1">
      <c r="A111" s="7"/>
      <c r="B111" s="7"/>
      <c r="C111" s="30"/>
      <c r="D111" s="30"/>
      <c r="E111" s="30"/>
      <c r="F111" s="30"/>
      <c r="G111" s="30"/>
      <c r="H111" s="30"/>
      <c r="I111" s="7"/>
      <c r="J111" s="7"/>
      <c r="K111" s="7"/>
      <c r="L111" s="7"/>
      <c r="M111" s="7"/>
      <c r="N111" s="7"/>
      <c r="O111" s="7"/>
      <c r="P111" s="7"/>
      <c r="Q111" s="7"/>
      <c r="R111" s="7"/>
      <c r="S111" s="7"/>
      <c r="T111" s="7"/>
      <c r="U111" s="7"/>
      <c r="V111" s="7"/>
      <c r="W111" s="7"/>
      <c r="X111" s="7"/>
      <c r="Y111" s="7"/>
    </row>
    <row r="112" spans="1:25" ht="15.75" customHeight="1">
      <c r="A112" s="7"/>
      <c r="B112" s="7"/>
      <c r="C112" s="30"/>
      <c r="D112" s="30"/>
      <c r="E112" s="30"/>
      <c r="F112" s="30"/>
      <c r="G112" s="30"/>
      <c r="H112" s="30"/>
      <c r="I112" s="7"/>
      <c r="J112" s="7"/>
      <c r="K112" s="7"/>
      <c r="L112" s="7"/>
      <c r="M112" s="7"/>
      <c r="N112" s="7"/>
      <c r="O112" s="7"/>
      <c r="P112" s="7"/>
      <c r="Q112" s="7"/>
      <c r="R112" s="7"/>
      <c r="S112" s="7"/>
      <c r="T112" s="7"/>
      <c r="U112" s="7"/>
      <c r="V112" s="7"/>
      <c r="W112" s="7"/>
      <c r="X112" s="7"/>
      <c r="Y112" s="7"/>
    </row>
    <row r="113" spans="1:25" ht="15.75" customHeight="1">
      <c r="A113" s="7"/>
      <c r="B113" s="7"/>
      <c r="C113" s="30"/>
      <c r="D113" s="30"/>
      <c r="E113" s="30"/>
      <c r="F113" s="30"/>
      <c r="G113" s="30"/>
      <c r="H113" s="30"/>
      <c r="I113" s="7"/>
      <c r="J113" s="7"/>
      <c r="K113" s="7"/>
      <c r="L113" s="7"/>
      <c r="M113" s="7"/>
      <c r="N113" s="7"/>
      <c r="O113" s="7"/>
      <c r="P113" s="7"/>
      <c r="Q113" s="7"/>
      <c r="R113" s="7"/>
      <c r="S113" s="7"/>
      <c r="T113" s="7"/>
      <c r="U113" s="7"/>
      <c r="V113" s="7"/>
      <c r="W113" s="7"/>
      <c r="X113" s="7"/>
      <c r="Y113" s="7"/>
    </row>
    <row r="114" spans="1:25" ht="15.75" customHeight="1">
      <c r="A114" s="7"/>
      <c r="B114" s="7"/>
      <c r="C114" s="30"/>
      <c r="D114" s="30"/>
      <c r="E114" s="30"/>
      <c r="F114" s="30"/>
      <c r="G114" s="30"/>
      <c r="H114" s="30"/>
      <c r="I114" s="7"/>
      <c r="J114" s="7"/>
      <c r="K114" s="7"/>
      <c r="L114" s="7"/>
      <c r="M114" s="7"/>
      <c r="N114" s="7"/>
      <c r="O114" s="7"/>
      <c r="P114" s="7"/>
      <c r="Q114" s="7"/>
      <c r="R114" s="7"/>
      <c r="S114" s="7"/>
      <c r="T114" s="7"/>
      <c r="U114" s="7"/>
      <c r="V114" s="7"/>
      <c r="W114" s="7"/>
      <c r="X114" s="7"/>
      <c r="Y114" s="7"/>
    </row>
    <row r="115" spans="1:25" ht="15.75" customHeight="1">
      <c r="A115" s="7"/>
      <c r="B115" s="7"/>
      <c r="C115" s="30"/>
      <c r="D115" s="30"/>
      <c r="E115" s="30"/>
      <c r="F115" s="30"/>
      <c r="G115" s="30"/>
      <c r="H115" s="30"/>
      <c r="I115" s="7"/>
      <c r="J115" s="7"/>
      <c r="K115" s="7"/>
      <c r="L115" s="7"/>
      <c r="M115" s="7"/>
      <c r="N115" s="7"/>
      <c r="O115" s="7"/>
      <c r="P115" s="7"/>
      <c r="Q115" s="7"/>
      <c r="R115" s="7"/>
      <c r="S115" s="7"/>
      <c r="T115" s="7"/>
      <c r="U115" s="7"/>
      <c r="V115" s="7"/>
      <c r="W115" s="7"/>
      <c r="X115" s="7"/>
      <c r="Y115" s="7"/>
    </row>
    <row r="116" spans="1:25" ht="15.75" customHeight="1">
      <c r="A116" s="7"/>
      <c r="B116" s="7"/>
      <c r="C116" s="30"/>
      <c r="D116" s="30"/>
      <c r="E116" s="30"/>
      <c r="F116" s="30"/>
      <c r="G116" s="30"/>
      <c r="H116" s="30"/>
      <c r="I116" s="7"/>
      <c r="J116" s="7"/>
      <c r="K116" s="7"/>
      <c r="L116" s="7"/>
      <c r="M116" s="7"/>
      <c r="N116" s="7"/>
      <c r="O116" s="7"/>
      <c r="P116" s="7"/>
      <c r="Q116" s="7"/>
      <c r="R116" s="7"/>
      <c r="S116" s="7"/>
      <c r="T116" s="7"/>
      <c r="U116" s="7"/>
      <c r="V116" s="7"/>
      <c r="W116" s="7"/>
      <c r="X116" s="7"/>
      <c r="Y116" s="7"/>
    </row>
    <row r="117" spans="1:25" ht="15.75" customHeight="1">
      <c r="A117" s="7"/>
      <c r="B117" s="7"/>
      <c r="C117" s="30"/>
      <c r="D117" s="30"/>
      <c r="E117" s="30"/>
      <c r="F117" s="30"/>
      <c r="G117" s="30"/>
      <c r="H117" s="30"/>
      <c r="I117" s="7"/>
      <c r="J117" s="7"/>
      <c r="K117" s="7"/>
      <c r="L117" s="7"/>
      <c r="M117" s="7"/>
      <c r="N117" s="7"/>
      <c r="O117" s="7"/>
      <c r="P117" s="7"/>
      <c r="Q117" s="7"/>
      <c r="R117" s="7"/>
      <c r="S117" s="7"/>
      <c r="T117" s="7"/>
      <c r="U117" s="7"/>
      <c r="V117" s="7"/>
      <c r="W117" s="7"/>
      <c r="X117" s="7"/>
      <c r="Y117" s="7"/>
    </row>
    <row r="118" spans="1:25" ht="15.75" customHeight="1">
      <c r="A118" s="7"/>
      <c r="B118" s="7"/>
      <c r="C118" s="30"/>
      <c r="D118" s="30"/>
      <c r="E118" s="30"/>
      <c r="F118" s="30"/>
      <c r="G118" s="30"/>
      <c r="H118" s="30"/>
      <c r="I118" s="7"/>
      <c r="J118" s="7"/>
      <c r="K118" s="7"/>
      <c r="L118" s="7"/>
      <c r="M118" s="7"/>
      <c r="N118" s="7"/>
      <c r="O118" s="7"/>
      <c r="P118" s="7"/>
      <c r="Q118" s="7"/>
      <c r="R118" s="7"/>
      <c r="S118" s="7"/>
      <c r="T118" s="7"/>
      <c r="U118" s="7"/>
      <c r="V118" s="7"/>
      <c r="W118" s="7"/>
      <c r="X118" s="7"/>
      <c r="Y118" s="7"/>
    </row>
    <row r="119" spans="1:25" ht="15.75" customHeight="1">
      <c r="A119" s="7"/>
      <c r="B119" s="7"/>
      <c r="C119" s="30"/>
      <c r="D119" s="30"/>
      <c r="E119" s="30"/>
      <c r="F119" s="30"/>
      <c r="G119" s="30"/>
      <c r="H119" s="30"/>
      <c r="I119" s="7"/>
      <c r="J119" s="7"/>
      <c r="K119" s="7"/>
      <c r="L119" s="7"/>
      <c r="M119" s="7"/>
      <c r="N119" s="7"/>
      <c r="O119" s="7"/>
      <c r="P119" s="7"/>
      <c r="Q119" s="7"/>
      <c r="R119" s="7"/>
      <c r="S119" s="7"/>
      <c r="T119" s="7"/>
      <c r="U119" s="7"/>
      <c r="V119" s="7"/>
      <c r="W119" s="7"/>
      <c r="X119" s="7"/>
      <c r="Y119" s="7"/>
    </row>
    <row r="120" spans="1:25" ht="15.75" customHeight="1">
      <c r="A120" s="7"/>
      <c r="B120" s="7"/>
      <c r="C120" s="30"/>
      <c r="D120" s="30"/>
      <c r="E120" s="30"/>
      <c r="F120" s="30"/>
      <c r="G120" s="30"/>
      <c r="H120" s="30"/>
      <c r="I120" s="7"/>
      <c r="J120" s="7"/>
      <c r="K120" s="7"/>
      <c r="L120" s="7"/>
      <c r="M120" s="7"/>
      <c r="N120" s="7"/>
      <c r="O120" s="7"/>
      <c r="P120" s="7"/>
      <c r="Q120" s="7"/>
      <c r="R120" s="7"/>
      <c r="S120" s="7"/>
      <c r="T120" s="7"/>
      <c r="U120" s="7"/>
      <c r="V120" s="7"/>
      <c r="W120" s="7"/>
      <c r="X120" s="7"/>
      <c r="Y120" s="7"/>
    </row>
    <row r="121" spans="1:25" ht="15.75" customHeight="1">
      <c r="A121" s="7"/>
      <c r="B121" s="7"/>
      <c r="C121" s="30"/>
      <c r="D121" s="30"/>
      <c r="E121" s="30"/>
      <c r="F121" s="30"/>
      <c r="G121" s="30"/>
      <c r="H121" s="30"/>
      <c r="I121" s="7"/>
      <c r="J121" s="7"/>
      <c r="K121" s="7"/>
      <c r="L121" s="7"/>
      <c r="M121" s="7"/>
      <c r="N121" s="7"/>
      <c r="O121" s="7"/>
      <c r="P121" s="7"/>
      <c r="Q121" s="7"/>
      <c r="R121" s="7"/>
      <c r="S121" s="7"/>
      <c r="T121" s="7"/>
      <c r="U121" s="7"/>
      <c r="V121" s="7"/>
      <c r="W121" s="7"/>
      <c r="X121" s="7"/>
      <c r="Y121" s="7"/>
    </row>
    <row r="122" spans="1:25" ht="15.75" customHeight="1">
      <c r="A122" s="7"/>
      <c r="B122" s="7"/>
      <c r="C122" s="30"/>
      <c r="D122" s="30"/>
      <c r="E122" s="30"/>
      <c r="F122" s="30"/>
      <c r="G122" s="30"/>
      <c r="H122" s="30"/>
      <c r="I122" s="7"/>
      <c r="J122" s="7"/>
      <c r="K122" s="7"/>
      <c r="L122" s="7"/>
      <c r="M122" s="7"/>
      <c r="N122" s="7"/>
      <c r="O122" s="7"/>
      <c r="P122" s="7"/>
      <c r="Q122" s="7"/>
      <c r="R122" s="7"/>
      <c r="S122" s="7"/>
      <c r="T122" s="7"/>
      <c r="U122" s="7"/>
      <c r="V122" s="7"/>
      <c r="W122" s="7"/>
      <c r="X122" s="7"/>
      <c r="Y122" s="7"/>
    </row>
    <row r="123" spans="1:25" ht="15.75" customHeight="1">
      <c r="A123" s="7"/>
      <c r="B123" s="7"/>
      <c r="C123" s="30"/>
      <c r="D123" s="30"/>
      <c r="E123" s="30"/>
      <c r="F123" s="30"/>
      <c r="G123" s="30"/>
      <c r="H123" s="30"/>
      <c r="I123" s="7"/>
      <c r="J123" s="7"/>
      <c r="K123" s="7"/>
      <c r="L123" s="7"/>
      <c r="M123" s="7"/>
      <c r="N123" s="7"/>
      <c r="O123" s="7"/>
      <c r="P123" s="7"/>
      <c r="Q123" s="7"/>
      <c r="R123" s="7"/>
      <c r="S123" s="7"/>
      <c r="T123" s="7"/>
      <c r="U123" s="7"/>
      <c r="V123" s="7"/>
      <c r="W123" s="7"/>
      <c r="X123" s="7"/>
      <c r="Y123" s="7"/>
    </row>
    <row r="124" spans="1:25" ht="15.75" customHeight="1">
      <c r="A124" s="7"/>
      <c r="B124" s="7"/>
      <c r="C124" s="30"/>
      <c r="D124" s="30"/>
      <c r="E124" s="30"/>
      <c r="F124" s="30"/>
      <c r="G124" s="30"/>
      <c r="H124" s="30"/>
      <c r="I124" s="7"/>
      <c r="J124" s="7"/>
      <c r="K124" s="7"/>
      <c r="L124" s="7"/>
      <c r="M124" s="7"/>
      <c r="N124" s="7"/>
      <c r="O124" s="7"/>
      <c r="P124" s="7"/>
      <c r="Q124" s="7"/>
      <c r="R124" s="7"/>
      <c r="S124" s="7"/>
      <c r="T124" s="7"/>
      <c r="U124" s="7"/>
      <c r="V124" s="7"/>
      <c r="W124" s="7"/>
      <c r="X124" s="7"/>
      <c r="Y124" s="7"/>
    </row>
    <row r="125" spans="1:25" ht="15.75" customHeight="1">
      <c r="A125" s="7"/>
      <c r="B125" s="7"/>
      <c r="C125" s="30"/>
      <c r="D125" s="30"/>
      <c r="E125" s="30"/>
      <c r="F125" s="30"/>
      <c r="G125" s="30"/>
      <c r="H125" s="30"/>
      <c r="I125" s="7"/>
      <c r="J125" s="7"/>
      <c r="K125" s="7"/>
      <c r="L125" s="7"/>
      <c r="M125" s="7"/>
      <c r="N125" s="7"/>
      <c r="O125" s="7"/>
      <c r="P125" s="7"/>
      <c r="Q125" s="7"/>
      <c r="R125" s="7"/>
      <c r="S125" s="7"/>
      <c r="T125" s="7"/>
      <c r="U125" s="7"/>
      <c r="V125" s="7"/>
      <c r="W125" s="7"/>
      <c r="X125" s="7"/>
      <c r="Y125" s="7"/>
    </row>
    <row r="126" spans="1:25" ht="15.75" customHeight="1">
      <c r="A126" s="7"/>
      <c r="B126" s="7"/>
      <c r="C126" s="30"/>
      <c r="D126" s="30"/>
      <c r="E126" s="30"/>
      <c r="F126" s="30"/>
      <c r="G126" s="30"/>
      <c r="H126" s="30"/>
      <c r="I126" s="7"/>
      <c r="J126" s="7"/>
      <c r="K126" s="7"/>
      <c r="L126" s="7"/>
      <c r="M126" s="7"/>
      <c r="N126" s="7"/>
      <c r="O126" s="7"/>
      <c r="P126" s="7"/>
      <c r="Q126" s="7"/>
      <c r="R126" s="7"/>
      <c r="S126" s="7"/>
      <c r="T126" s="7"/>
      <c r="U126" s="7"/>
      <c r="V126" s="7"/>
      <c r="W126" s="7"/>
      <c r="X126" s="7"/>
      <c r="Y126" s="7"/>
    </row>
    <row r="127" spans="1:25" ht="15.75" customHeight="1">
      <c r="A127" s="7"/>
      <c r="B127" s="7"/>
      <c r="C127" s="30"/>
      <c r="D127" s="30"/>
      <c r="E127" s="30"/>
      <c r="F127" s="30"/>
      <c r="G127" s="30"/>
      <c r="H127" s="30"/>
      <c r="I127" s="7"/>
      <c r="J127" s="7"/>
      <c r="K127" s="7"/>
      <c r="L127" s="7"/>
      <c r="M127" s="7"/>
      <c r="N127" s="7"/>
      <c r="O127" s="7"/>
      <c r="P127" s="7"/>
      <c r="Q127" s="7"/>
      <c r="R127" s="7"/>
      <c r="S127" s="7"/>
      <c r="T127" s="7"/>
      <c r="U127" s="7"/>
      <c r="V127" s="7"/>
      <c r="W127" s="7"/>
      <c r="X127" s="7"/>
      <c r="Y127" s="7"/>
    </row>
    <row r="128" spans="1:25" ht="15.75" customHeight="1">
      <c r="A128" s="7"/>
      <c r="B128" s="7"/>
      <c r="C128" s="30"/>
      <c r="D128" s="30"/>
      <c r="E128" s="30"/>
      <c r="F128" s="30"/>
      <c r="G128" s="30"/>
      <c r="H128" s="30"/>
      <c r="I128" s="7"/>
      <c r="J128" s="7"/>
      <c r="K128" s="7"/>
      <c r="L128" s="7"/>
      <c r="M128" s="7"/>
      <c r="N128" s="7"/>
      <c r="O128" s="7"/>
      <c r="P128" s="7"/>
      <c r="Q128" s="7"/>
      <c r="R128" s="7"/>
      <c r="S128" s="7"/>
      <c r="T128" s="7"/>
      <c r="U128" s="7"/>
      <c r="V128" s="7"/>
      <c r="W128" s="7"/>
      <c r="X128" s="7"/>
      <c r="Y128" s="7"/>
    </row>
    <row r="129" spans="1:25" ht="15.75" customHeight="1">
      <c r="A129" s="7"/>
      <c r="B129" s="7"/>
      <c r="C129" s="30"/>
      <c r="D129" s="30"/>
      <c r="E129" s="30"/>
      <c r="F129" s="30"/>
      <c r="G129" s="30"/>
      <c r="H129" s="30"/>
      <c r="I129" s="7"/>
      <c r="J129" s="7"/>
      <c r="K129" s="7"/>
      <c r="L129" s="7"/>
      <c r="M129" s="7"/>
      <c r="N129" s="7"/>
      <c r="O129" s="7"/>
      <c r="P129" s="7"/>
      <c r="Q129" s="7"/>
      <c r="R129" s="7"/>
      <c r="S129" s="7"/>
      <c r="T129" s="7"/>
      <c r="U129" s="7"/>
      <c r="V129" s="7"/>
      <c r="W129" s="7"/>
      <c r="X129" s="7"/>
      <c r="Y129" s="7"/>
    </row>
    <row r="130" spans="1:25" ht="15.75" customHeight="1">
      <c r="A130" s="7"/>
      <c r="B130" s="7"/>
      <c r="C130" s="30"/>
      <c r="D130" s="30"/>
      <c r="E130" s="30"/>
      <c r="F130" s="30"/>
      <c r="G130" s="30"/>
      <c r="H130" s="30"/>
      <c r="I130" s="7"/>
      <c r="J130" s="7"/>
      <c r="K130" s="7"/>
      <c r="L130" s="7"/>
      <c r="M130" s="7"/>
      <c r="N130" s="7"/>
      <c r="O130" s="7"/>
      <c r="P130" s="7"/>
      <c r="Q130" s="7"/>
      <c r="R130" s="7"/>
      <c r="S130" s="7"/>
      <c r="T130" s="7"/>
      <c r="U130" s="7"/>
      <c r="V130" s="7"/>
      <c r="W130" s="7"/>
      <c r="X130" s="7"/>
      <c r="Y130" s="7"/>
    </row>
    <row r="131" spans="1:25" ht="15.75" customHeight="1">
      <c r="A131" s="7"/>
      <c r="B131" s="7"/>
      <c r="C131" s="30"/>
      <c r="D131" s="30"/>
      <c r="E131" s="30"/>
      <c r="F131" s="30"/>
      <c r="G131" s="30"/>
      <c r="H131" s="30"/>
      <c r="I131" s="7"/>
      <c r="J131" s="7"/>
      <c r="K131" s="7"/>
      <c r="L131" s="7"/>
      <c r="M131" s="7"/>
      <c r="N131" s="7"/>
      <c r="O131" s="7"/>
      <c r="P131" s="7"/>
      <c r="Q131" s="7"/>
      <c r="R131" s="7"/>
      <c r="S131" s="7"/>
      <c r="T131" s="7"/>
      <c r="U131" s="7"/>
      <c r="V131" s="7"/>
      <c r="W131" s="7"/>
      <c r="X131" s="7"/>
      <c r="Y131" s="7"/>
    </row>
    <row r="132" spans="1:25" ht="15.75" customHeight="1">
      <c r="A132" s="7"/>
      <c r="B132" s="7"/>
      <c r="C132" s="30"/>
      <c r="D132" s="30"/>
      <c r="E132" s="30"/>
      <c r="F132" s="30"/>
      <c r="G132" s="30"/>
      <c r="H132" s="30"/>
      <c r="I132" s="7"/>
      <c r="J132" s="7"/>
      <c r="K132" s="7"/>
      <c r="L132" s="7"/>
      <c r="M132" s="7"/>
      <c r="N132" s="7"/>
      <c r="O132" s="7"/>
      <c r="P132" s="7"/>
      <c r="Q132" s="7"/>
      <c r="R132" s="7"/>
      <c r="S132" s="7"/>
      <c r="T132" s="7"/>
      <c r="U132" s="7"/>
      <c r="V132" s="7"/>
      <c r="W132" s="7"/>
      <c r="X132" s="7"/>
      <c r="Y132" s="7"/>
    </row>
    <row r="133" spans="1:25" ht="15.75" customHeight="1">
      <c r="A133" s="7"/>
      <c r="B133" s="7"/>
      <c r="C133" s="30"/>
      <c r="D133" s="30"/>
      <c r="E133" s="30"/>
      <c r="F133" s="30"/>
      <c r="G133" s="30"/>
      <c r="H133" s="30"/>
      <c r="I133" s="7"/>
      <c r="J133" s="7"/>
      <c r="K133" s="7"/>
      <c r="L133" s="7"/>
      <c r="M133" s="7"/>
      <c r="N133" s="7"/>
      <c r="O133" s="7"/>
      <c r="P133" s="7"/>
      <c r="Q133" s="7"/>
      <c r="R133" s="7"/>
      <c r="S133" s="7"/>
      <c r="T133" s="7"/>
      <c r="U133" s="7"/>
      <c r="V133" s="7"/>
      <c r="W133" s="7"/>
      <c r="X133" s="7"/>
      <c r="Y133" s="7"/>
    </row>
    <row r="134" spans="1:25" ht="15.75" customHeight="1">
      <c r="A134" s="7"/>
      <c r="B134" s="7"/>
      <c r="C134" s="30"/>
      <c r="D134" s="30"/>
      <c r="E134" s="30"/>
      <c r="F134" s="30"/>
      <c r="G134" s="30"/>
      <c r="H134" s="30"/>
      <c r="I134" s="7"/>
      <c r="J134" s="7"/>
      <c r="K134" s="7"/>
      <c r="L134" s="7"/>
      <c r="M134" s="7"/>
      <c r="N134" s="7"/>
      <c r="O134" s="7"/>
      <c r="P134" s="7"/>
      <c r="Q134" s="7"/>
      <c r="R134" s="7"/>
      <c r="S134" s="7"/>
      <c r="T134" s="7"/>
      <c r="U134" s="7"/>
      <c r="V134" s="7"/>
      <c r="W134" s="7"/>
      <c r="X134" s="7"/>
      <c r="Y134" s="7"/>
    </row>
    <row r="135" spans="1:25" ht="15.75" customHeight="1">
      <c r="A135" s="7"/>
      <c r="B135" s="7"/>
      <c r="C135" s="30"/>
      <c r="D135" s="30"/>
      <c r="E135" s="30"/>
      <c r="F135" s="30"/>
      <c r="G135" s="30"/>
      <c r="H135" s="30"/>
      <c r="I135" s="7"/>
      <c r="J135" s="7"/>
      <c r="K135" s="7"/>
      <c r="L135" s="7"/>
      <c r="M135" s="7"/>
      <c r="N135" s="7"/>
      <c r="O135" s="7"/>
      <c r="P135" s="7"/>
      <c r="Q135" s="7"/>
      <c r="R135" s="7"/>
      <c r="S135" s="7"/>
      <c r="T135" s="7"/>
      <c r="U135" s="7"/>
      <c r="V135" s="7"/>
      <c r="W135" s="7"/>
      <c r="X135" s="7"/>
      <c r="Y135" s="7"/>
    </row>
    <row r="136" spans="1:25" ht="15.75" customHeight="1">
      <c r="A136" s="7"/>
      <c r="B136" s="7"/>
      <c r="C136" s="30"/>
      <c r="D136" s="30"/>
      <c r="E136" s="30"/>
      <c r="F136" s="30"/>
      <c r="G136" s="30"/>
      <c r="H136" s="30"/>
      <c r="I136" s="7"/>
      <c r="J136" s="7"/>
      <c r="K136" s="7"/>
      <c r="L136" s="7"/>
      <c r="M136" s="7"/>
      <c r="N136" s="7"/>
      <c r="O136" s="7"/>
      <c r="P136" s="7"/>
      <c r="Q136" s="7"/>
      <c r="R136" s="7"/>
      <c r="S136" s="7"/>
      <c r="T136" s="7"/>
      <c r="U136" s="7"/>
      <c r="V136" s="7"/>
      <c r="W136" s="7"/>
      <c r="X136" s="7"/>
      <c r="Y136" s="7"/>
    </row>
    <row r="137" spans="1:25" ht="15.75" customHeight="1">
      <c r="A137" s="7"/>
      <c r="B137" s="7"/>
      <c r="C137" s="30"/>
      <c r="D137" s="30"/>
      <c r="E137" s="30"/>
      <c r="F137" s="30"/>
      <c r="G137" s="30"/>
      <c r="H137" s="30"/>
      <c r="I137" s="7"/>
      <c r="J137" s="7"/>
      <c r="K137" s="7"/>
      <c r="L137" s="7"/>
      <c r="M137" s="7"/>
      <c r="N137" s="7"/>
      <c r="O137" s="7"/>
      <c r="P137" s="7"/>
      <c r="Q137" s="7"/>
      <c r="R137" s="7"/>
      <c r="S137" s="7"/>
      <c r="T137" s="7"/>
      <c r="U137" s="7"/>
      <c r="V137" s="7"/>
      <c r="W137" s="7"/>
      <c r="X137" s="7"/>
      <c r="Y137" s="7"/>
    </row>
    <row r="138" spans="1:25" ht="15.75" customHeight="1">
      <c r="A138" s="7"/>
      <c r="B138" s="7"/>
      <c r="C138" s="30"/>
      <c r="D138" s="30"/>
      <c r="E138" s="30"/>
      <c r="F138" s="30"/>
      <c r="G138" s="30"/>
      <c r="H138" s="30"/>
      <c r="I138" s="7"/>
      <c r="J138" s="7"/>
      <c r="K138" s="7"/>
      <c r="L138" s="7"/>
      <c r="M138" s="7"/>
      <c r="N138" s="7"/>
      <c r="O138" s="7"/>
      <c r="P138" s="7"/>
      <c r="Q138" s="7"/>
      <c r="R138" s="7"/>
      <c r="S138" s="7"/>
      <c r="T138" s="7"/>
      <c r="U138" s="7"/>
      <c r="V138" s="7"/>
      <c r="W138" s="7"/>
      <c r="X138" s="7"/>
      <c r="Y138" s="7"/>
    </row>
    <row r="139" spans="1:25" ht="15.75" customHeight="1">
      <c r="A139" s="7"/>
      <c r="B139" s="7"/>
      <c r="C139" s="30"/>
      <c r="D139" s="30"/>
      <c r="E139" s="30"/>
      <c r="F139" s="30"/>
      <c r="G139" s="30"/>
      <c r="H139" s="30"/>
      <c r="I139" s="7"/>
      <c r="J139" s="7"/>
      <c r="K139" s="7"/>
      <c r="L139" s="7"/>
      <c r="M139" s="7"/>
      <c r="N139" s="7"/>
      <c r="O139" s="7"/>
      <c r="P139" s="7"/>
      <c r="Q139" s="7"/>
      <c r="R139" s="7"/>
      <c r="S139" s="7"/>
      <c r="T139" s="7"/>
      <c r="U139" s="7"/>
      <c r="V139" s="7"/>
      <c r="W139" s="7"/>
      <c r="X139" s="7"/>
      <c r="Y139" s="7"/>
    </row>
    <row r="140" spans="1:25" ht="15.75" customHeight="1">
      <c r="A140" s="7"/>
      <c r="B140" s="7"/>
      <c r="C140" s="30"/>
      <c r="D140" s="30"/>
      <c r="E140" s="30"/>
      <c r="F140" s="30"/>
      <c r="G140" s="30"/>
      <c r="H140" s="30"/>
      <c r="I140" s="7"/>
      <c r="J140" s="7"/>
      <c r="K140" s="7"/>
      <c r="L140" s="7"/>
      <c r="M140" s="7"/>
      <c r="N140" s="7"/>
      <c r="O140" s="7"/>
      <c r="P140" s="7"/>
      <c r="Q140" s="7"/>
      <c r="R140" s="7"/>
      <c r="S140" s="7"/>
      <c r="T140" s="7"/>
      <c r="U140" s="7"/>
      <c r="V140" s="7"/>
      <c r="W140" s="7"/>
      <c r="X140" s="7"/>
      <c r="Y140" s="7"/>
    </row>
    <row r="141" spans="1:25" ht="15.75" customHeight="1">
      <c r="A141" s="7"/>
      <c r="B141" s="7"/>
      <c r="C141" s="30"/>
      <c r="D141" s="30"/>
      <c r="E141" s="30"/>
      <c r="F141" s="30"/>
      <c r="G141" s="30"/>
      <c r="H141" s="30"/>
      <c r="I141" s="7"/>
      <c r="J141" s="7"/>
      <c r="K141" s="7"/>
      <c r="L141" s="7"/>
      <c r="M141" s="7"/>
      <c r="N141" s="7"/>
      <c r="O141" s="7"/>
      <c r="P141" s="7"/>
      <c r="Q141" s="7"/>
      <c r="R141" s="7"/>
      <c r="S141" s="7"/>
      <c r="T141" s="7"/>
      <c r="U141" s="7"/>
      <c r="V141" s="7"/>
      <c r="W141" s="7"/>
      <c r="X141" s="7"/>
      <c r="Y141" s="7"/>
    </row>
    <row r="142" spans="1:25" ht="15.75" customHeight="1">
      <c r="A142" s="7"/>
      <c r="B142" s="7"/>
      <c r="C142" s="30"/>
      <c r="D142" s="30"/>
      <c r="E142" s="30"/>
      <c r="F142" s="30"/>
      <c r="G142" s="30"/>
      <c r="H142" s="30"/>
      <c r="I142" s="7"/>
      <c r="J142" s="7"/>
      <c r="K142" s="7"/>
      <c r="L142" s="7"/>
      <c r="M142" s="7"/>
      <c r="N142" s="7"/>
      <c r="O142" s="7"/>
      <c r="P142" s="7"/>
      <c r="Q142" s="7"/>
      <c r="R142" s="7"/>
      <c r="S142" s="7"/>
      <c r="T142" s="7"/>
      <c r="U142" s="7"/>
      <c r="V142" s="7"/>
      <c r="W142" s="7"/>
      <c r="X142" s="7"/>
      <c r="Y142" s="7"/>
    </row>
    <row r="143" spans="1:25" ht="15.75" customHeight="1">
      <c r="A143" s="7"/>
      <c r="B143" s="7"/>
      <c r="C143" s="30"/>
      <c r="D143" s="30"/>
      <c r="E143" s="30"/>
      <c r="F143" s="30"/>
      <c r="G143" s="30"/>
      <c r="H143" s="30"/>
      <c r="I143" s="7"/>
      <c r="J143" s="7"/>
      <c r="K143" s="7"/>
      <c r="L143" s="7"/>
      <c r="M143" s="7"/>
      <c r="N143" s="7"/>
      <c r="O143" s="7"/>
      <c r="P143" s="7"/>
      <c r="Q143" s="7"/>
      <c r="R143" s="7"/>
      <c r="S143" s="7"/>
      <c r="T143" s="7"/>
      <c r="U143" s="7"/>
      <c r="V143" s="7"/>
      <c r="W143" s="7"/>
      <c r="X143" s="7"/>
      <c r="Y143" s="7"/>
    </row>
    <row r="144" spans="1:25" ht="15.75" customHeight="1">
      <c r="A144" s="7"/>
      <c r="B144" s="7"/>
      <c r="C144" s="30"/>
      <c r="D144" s="30"/>
      <c r="E144" s="30"/>
      <c r="F144" s="30"/>
      <c r="G144" s="30"/>
      <c r="H144" s="30"/>
      <c r="I144" s="7"/>
      <c r="J144" s="7"/>
      <c r="K144" s="7"/>
      <c r="L144" s="7"/>
      <c r="M144" s="7"/>
      <c r="N144" s="7"/>
      <c r="O144" s="7"/>
      <c r="P144" s="7"/>
      <c r="Q144" s="7"/>
      <c r="R144" s="7"/>
      <c r="S144" s="7"/>
      <c r="T144" s="7"/>
      <c r="U144" s="7"/>
      <c r="V144" s="7"/>
      <c r="W144" s="7"/>
      <c r="X144" s="7"/>
      <c r="Y144" s="7"/>
    </row>
    <row r="145" spans="1:25" ht="15.75" customHeight="1">
      <c r="A145" s="7"/>
      <c r="B145" s="7"/>
      <c r="C145" s="30"/>
      <c r="D145" s="30"/>
      <c r="E145" s="30"/>
      <c r="F145" s="30"/>
      <c r="G145" s="30"/>
      <c r="H145" s="30"/>
      <c r="I145" s="7"/>
      <c r="J145" s="7"/>
      <c r="K145" s="7"/>
      <c r="L145" s="7"/>
      <c r="M145" s="7"/>
      <c r="N145" s="7"/>
      <c r="O145" s="7"/>
      <c r="P145" s="7"/>
      <c r="Q145" s="7"/>
      <c r="R145" s="7"/>
      <c r="S145" s="7"/>
      <c r="T145" s="7"/>
      <c r="U145" s="7"/>
      <c r="V145" s="7"/>
      <c r="W145" s="7"/>
      <c r="X145" s="7"/>
      <c r="Y145" s="7"/>
    </row>
    <row r="146" spans="1:25" ht="15.75" customHeight="1">
      <c r="A146" s="7"/>
      <c r="B146" s="7"/>
      <c r="C146" s="30"/>
      <c r="D146" s="30"/>
      <c r="E146" s="30"/>
      <c r="F146" s="30"/>
      <c r="G146" s="30"/>
      <c r="H146" s="30"/>
      <c r="I146" s="7"/>
      <c r="J146" s="7"/>
      <c r="K146" s="7"/>
      <c r="L146" s="7"/>
      <c r="M146" s="7"/>
      <c r="N146" s="7"/>
      <c r="O146" s="7"/>
      <c r="P146" s="7"/>
      <c r="Q146" s="7"/>
      <c r="R146" s="7"/>
      <c r="S146" s="7"/>
      <c r="T146" s="7"/>
      <c r="U146" s="7"/>
      <c r="V146" s="7"/>
      <c r="W146" s="7"/>
      <c r="X146" s="7"/>
      <c r="Y146" s="7"/>
    </row>
    <row r="147" spans="1:25" ht="15.75" customHeight="1">
      <c r="A147" s="7"/>
      <c r="B147" s="7"/>
      <c r="C147" s="30"/>
      <c r="D147" s="30"/>
      <c r="E147" s="30"/>
      <c r="F147" s="30"/>
      <c r="G147" s="30"/>
      <c r="H147" s="30"/>
      <c r="I147" s="7"/>
      <c r="J147" s="7"/>
      <c r="K147" s="7"/>
      <c r="L147" s="7"/>
      <c r="M147" s="7"/>
      <c r="N147" s="7"/>
      <c r="O147" s="7"/>
      <c r="P147" s="7"/>
      <c r="Q147" s="7"/>
      <c r="R147" s="7"/>
      <c r="S147" s="7"/>
      <c r="T147" s="7"/>
      <c r="U147" s="7"/>
      <c r="V147" s="7"/>
      <c r="W147" s="7"/>
      <c r="X147" s="7"/>
      <c r="Y147" s="7"/>
    </row>
    <row r="148" spans="1:25" ht="15.75" customHeight="1">
      <c r="A148" s="7"/>
      <c r="B148" s="7"/>
      <c r="C148" s="30"/>
      <c r="D148" s="30"/>
      <c r="E148" s="30"/>
      <c r="F148" s="30"/>
      <c r="G148" s="30"/>
      <c r="H148" s="30"/>
      <c r="I148" s="7"/>
      <c r="J148" s="7"/>
      <c r="K148" s="7"/>
      <c r="L148" s="7"/>
      <c r="M148" s="7"/>
      <c r="N148" s="7"/>
      <c r="O148" s="7"/>
      <c r="P148" s="7"/>
      <c r="Q148" s="7"/>
      <c r="R148" s="7"/>
      <c r="S148" s="7"/>
      <c r="T148" s="7"/>
      <c r="U148" s="7"/>
      <c r="V148" s="7"/>
      <c r="W148" s="7"/>
      <c r="X148" s="7"/>
      <c r="Y148" s="7"/>
    </row>
    <row r="149" spans="1:25" ht="15.75" customHeight="1">
      <c r="A149" s="7"/>
      <c r="B149" s="7"/>
      <c r="C149" s="30"/>
      <c r="D149" s="30"/>
      <c r="E149" s="30"/>
      <c r="F149" s="30"/>
      <c r="G149" s="30"/>
      <c r="H149" s="30"/>
      <c r="I149" s="7"/>
      <c r="J149" s="7"/>
      <c r="K149" s="7"/>
      <c r="L149" s="7"/>
      <c r="M149" s="7"/>
      <c r="N149" s="7"/>
      <c r="O149" s="7"/>
      <c r="P149" s="7"/>
      <c r="Q149" s="7"/>
      <c r="R149" s="7"/>
      <c r="S149" s="7"/>
      <c r="T149" s="7"/>
      <c r="U149" s="7"/>
      <c r="V149" s="7"/>
      <c r="W149" s="7"/>
      <c r="X149" s="7"/>
      <c r="Y149" s="7"/>
    </row>
    <row r="150" spans="1:25" ht="15.75" customHeight="1">
      <c r="A150" s="7"/>
      <c r="B150" s="7"/>
      <c r="C150" s="30"/>
      <c r="D150" s="30"/>
      <c r="E150" s="30"/>
      <c r="F150" s="30"/>
      <c r="G150" s="30"/>
      <c r="H150" s="30"/>
      <c r="I150" s="7"/>
      <c r="J150" s="7"/>
      <c r="K150" s="7"/>
      <c r="L150" s="7"/>
      <c r="M150" s="7"/>
      <c r="N150" s="7"/>
      <c r="O150" s="7"/>
      <c r="P150" s="7"/>
      <c r="Q150" s="7"/>
      <c r="R150" s="7"/>
      <c r="S150" s="7"/>
      <c r="T150" s="7"/>
      <c r="U150" s="7"/>
      <c r="V150" s="7"/>
      <c r="W150" s="7"/>
      <c r="X150" s="7"/>
      <c r="Y150" s="7"/>
    </row>
    <row r="151" spans="1:25" ht="15.75" customHeight="1">
      <c r="A151" s="7"/>
      <c r="B151" s="7"/>
      <c r="C151" s="30"/>
      <c r="D151" s="30"/>
      <c r="E151" s="30"/>
      <c r="F151" s="30"/>
      <c r="G151" s="30"/>
      <c r="H151" s="30"/>
      <c r="I151" s="7"/>
      <c r="J151" s="7"/>
      <c r="K151" s="7"/>
      <c r="L151" s="7"/>
      <c r="M151" s="7"/>
      <c r="N151" s="7"/>
      <c r="O151" s="7"/>
      <c r="P151" s="7"/>
      <c r="Q151" s="7"/>
      <c r="R151" s="7"/>
      <c r="S151" s="7"/>
      <c r="T151" s="7"/>
      <c r="U151" s="7"/>
      <c r="V151" s="7"/>
      <c r="W151" s="7"/>
      <c r="X151" s="7"/>
      <c r="Y151" s="7"/>
    </row>
    <row r="152" spans="1:25" ht="15.75" customHeight="1">
      <c r="A152" s="7"/>
      <c r="B152" s="7"/>
      <c r="C152" s="30"/>
      <c r="D152" s="30"/>
      <c r="E152" s="30"/>
      <c r="F152" s="30"/>
      <c r="G152" s="30"/>
      <c r="H152" s="30"/>
      <c r="I152" s="7"/>
      <c r="J152" s="7"/>
      <c r="K152" s="7"/>
      <c r="L152" s="7"/>
      <c r="M152" s="7"/>
      <c r="N152" s="7"/>
      <c r="O152" s="7"/>
      <c r="P152" s="7"/>
      <c r="Q152" s="7"/>
      <c r="R152" s="7"/>
      <c r="S152" s="7"/>
      <c r="T152" s="7"/>
      <c r="U152" s="7"/>
      <c r="V152" s="7"/>
      <c r="W152" s="7"/>
      <c r="X152" s="7"/>
      <c r="Y152" s="7"/>
    </row>
    <row r="153" spans="1:25" ht="15.75" customHeight="1">
      <c r="A153" s="7"/>
      <c r="B153" s="7"/>
      <c r="C153" s="30"/>
      <c r="D153" s="30"/>
      <c r="E153" s="30"/>
      <c r="F153" s="30"/>
      <c r="G153" s="30"/>
      <c r="H153" s="30"/>
      <c r="I153" s="7"/>
      <c r="J153" s="7"/>
      <c r="K153" s="7"/>
      <c r="L153" s="7"/>
      <c r="M153" s="7"/>
      <c r="N153" s="7"/>
      <c r="O153" s="7"/>
      <c r="P153" s="7"/>
      <c r="Q153" s="7"/>
      <c r="R153" s="7"/>
      <c r="S153" s="7"/>
      <c r="T153" s="7"/>
      <c r="U153" s="7"/>
      <c r="V153" s="7"/>
      <c r="W153" s="7"/>
      <c r="X153" s="7"/>
      <c r="Y153" s="7"/>
    </row>
    <row r="154" spans="1:25" ht="15.75" customHeight="1">
      <c r="A154" s="7"/>
      <c r="B154" s="7"/>
      <c r="C154" s="30"/>
      <c r="D154" s="30"/>
      <c r="E154" s="30"/>
      <c r="F154" s="30"/>
      <c r="G154" s="30"/>
      <c r="H154" s="30"/>
      <c r="I154" s="7"/>
      <c r="J154" s="7"/>
      <c r="K154" s="7"/>
      <c r="L154" s="7"/>
      <c r="M154" s="7"/>
      <c r="N154" s="7"/>
      <c r="O154" s="7"/>
      <c r="P154" s="7"/>
      <c r="Q154" s="7"/>
      <c r="R154" s="7"/>
      <c r="S154" s="7"/>
      <c r="T154" s="7"/>
      <c r="U154" s="7"/>
      <c r="V154" s="7"/>
      <c r="W154" s="7"/>
      <c r="X154" s="7"/>
      <c r="Y154" s="7"/>
    </row>
    <row r="155" spans="1:25" ht="15.75" customHeight="1">
      <c r="A155" s="7"/>
      <c r="B155" s="7"/>
      <c r="C155" s="30"/>
      <c r="D155" s="30"/>
      <c r="E155" s="30"/>
      <c r="F155" s="30"/>
      <c r="G155" s="30"/>
      <c r="H155" s="30"/>
      <c r="I155" s="7"/>
      <c r="J155" s="7"/>
      <c r="K155" s="7"/>
      <c r="L155" s="7"/>
      <c r="M155" s="7"/>
      <c r="N155" s="7"/>
      <c r="O155" s="7"/>
      <c r="P155" s="7"/>
      <c r="Q155" s="7"/>
      <c r="R155" s="7"/>
      <c r="S155" s="7"/>
      <c r="T155" s="7"/>
      <c r="U155" s="7"/>
      <c r="V155" s="7"/>
      <c r="W155" s="7"/>
      <c r="X155" s="7"/>
      <c r="Y155" s="7"/>
    </row>
    <row r="156" spans="1:25" ht="15.75" customHeight="1">
      <c r="A156" s="7"/>
      <c r="B156" s="7"/>
      <c r="C156" s="30"/>
      <c r="D156" s="30"/>
      <c r="E156" s="30"/>
      <c r="F156" s="30"/>
      <c r="G156" s="30"/>
      <c r="H156" s="30"/>
      <c r="I156" s="7"/>
      <c r="J156" s="7"/>
      <c r="K156" s="7"/>
      <c r="L156" s="7"/>
      <c r="M156" s="7"/>
      <c r="N156" s="7"/>
      <c r="O156" s="7"/>
      <c r="P156" s="7"/>
      <c r="Q156" s="7"/>
      <c r="R156" s="7"/>
      <c r="S156" s="7"/>
      <c r="T156" s="7"/>
      <c r="U156" s="7"/>
      <c r="V156" s="7"/>
      <c r="W156" s="7"/>
      <c r="X156" s="7"/>
      <c r="Y156" s="7"/>
    </row>
    <row r="157" spans="1:25" ht="15.75" customHeight="1">
      <c r="A157" s="7"/>
      <c r="B157" s="7"/>
      <c r="C157" s="30"/>
      <c r="D157" s="30"/>
      <c r="E157" s="30"/>
      <c r="F157" s="30"/>
      <c r="G157" s="30"/>
      <c r="H157" s="30"/>
      <c r="I157" s="7"/>
      <c r="J157" s="7"/>
      <c r="K157" s="7"/>
      <c r="L157" s="7"/>
      <c r="M157" s="7"/>
      <c r="N157" s="7"/>
      <c r="O157" s="7"/>
      <c r="P157" s="7"/>
      <c r="Q157" s="7"/>
      <c r="R157" s="7"/>
      <c r="S157" s="7"/>
      <c r="T157" s="7"/>
      <c r="U157" s="7"/>
      <c r="V157" s="7"/>
      <c r="W157" s="7"/>
      <c r="X157" s="7"/>
      <c r="Y157" s="7"/>
    </row>
    <row r="158" spans="1:25" ht="15.75" customHeight="1">
      <c r="A158" s="7"/>
      <c r="B158" s="7"/>
      <c r="C158" s="30"/>
      <c r="D158" s="30"/>
      <c r="E158" s="30"/>
      <c r="F158" s="30"/>
      <c r="G158" s="30"/>
      <c r="H158" s="30"/>
      <c r="I158" s="7"/>
      <c r="J158" s="7"/>
      <c r="K158" s="7"/>
      <c r="L158" s="7"/>
      <c r="M158" s="7"/>
      <c r="N158" s="7"/>
      <c r="O158" s="7"/>
      <c r="P158" s="7"/>
      <c r="Q158" s="7"/>
      <c r="R158" s="7"/>
      <c r="S158" s="7"/>
      <c r="T158" s="7"/>
      <c r="U158" s="7"/>
      <c r="V158" s="7"/>
      <c r="W158" s="7"/>
      <c r="X158" s="7"/>
      <c r="Y158" s="7"/>
    </row>
    <row r="159" spans="1:25" ht="15.75" customHeight="1">
      <c r="A159" s="7"/>
      <c r="B159" s="7"/>
      <c r="C159" s="30"/>
      <c r="D159" s="30"/>
      <c r="E159" s="30"/>
      <c r="F159" s="30"/>
      <c r="G159" s="30"/>
      <c r="H159" s="30"/>
      <c r="I159" s="7"/>
      <c r="J159" s="7"/>
      <c r="K159" s="7"/>
      <c r="L159" s="7"/>
      <c r="M159" s="7"/>
      <c r="N159" s="7"/>
      <c r="O159" s="7"/>
      <c r="P159" s="7"/>
      <c r="Q159" s="7"/>
      <c r="R159" s="7"/>
      <c r="S159" s="7"/>
      <c r="T159" s="7"/>
      <c r="U159" s="7"/>
      <c r="V159" s="7"/>
      <c r="W159" s="7"/>
      <c r="X159" s="7"/>
      <c r="Y159" s="7"/>
    </row>
    <row r="160" spans="1:25" ht="15.75" customHeight="1">
      <c r="A160" s="7"/>
      <c r="B160" s="7"/>
      <c r="C160" s="30"/>
      <c r="D160" s="30"/>
      <c r="E160" s="30"/>
      <c r="F160" s="30"/>
      <c r="G160" s="30"/>
      <c r="H160" s="30"/>
      <c r="I160" s="7"/>
      <c r="J160" s="7"/>
      <c r="K160" s="7"/>
      <c r="L160" s="7"/>
      <c r="M160" s="7"/>
      <c r="N160" s="7"/>
      <c r="O160" s="7"/>
      <c r="P160" s="7"/>
      <c r="Q160" s="7"/>
      <c r="R160" s="7"/>
      <c r="S160" s="7"/>
      <c r="T160" s="7"/>
      <c r="U160" s="7"/>
      <c r="V160" s="7"/>
      <c r="W160" s="7"/>
      <c r="X160" s="7"/>
      <c r="Y160" s="7"/>
    </row>
    <row r="161" spans="1:25" ht="15.75" customHeight="1">
      <c r="A161" s="7"/>
      <c r="B161" s="7"/>
      <c r="C161" s="30"/>
      <c r="D161" s="30"/>
      <c r="E161" s="30"/>
      <c r="F161" s="30"/>
      <c r="G161" s="30"/>
      <c r="H161" s="30"/>
      <c r="I161" s="7"/>
      <c r="J161" s="7"/>
      <c r="K161" s="7"/>
      <c r="L161" s="7"/>
      <c r="M161" s="7"/>
      <c r="N161" s="7"/>
      <c r="O161" s="7"/>
      <c r="P161" s="7"/>
      <c r="Q161" s="7"/>
      <c r="R161" s="7"/>
      <c r="S161" s="7"/>
      <c r="T161" s="7"/>
      <c r="U161" s="7"/>
      <c r="V161" s="7"/>
      <c r="W161" s="7"/>
      <c r="X161" s="7"/>
      <c r="Y161" s="7"/>
    </row>
    <row r="162" spans="1:25" ht="15.75" customHeight="1">
      <c r="A162" s="7"/>
      <c r="B162" s="7"/>
      <c r="C162" s="30"/>
      <c r="D162" s="30"/>
      <c r="E162" s="30"/>
      <c r="F162" s="30"/>
      <c r="G162" s="30"/>
      <c r="H162" s="30"/>
      <c r="I162" s="7"/>
      <c r="J162" s="7"/>
      <c r="K162" s="7"/>
      <c r="L162" s="7"/>
      <c r="M162" s="7"/>
      <c r="N162" s="7"/>
      <c r="O162" s="7"/>
      <c r="P162" s="7"/>
      <c r="Q162" s="7"/>
      <c r="R162" s="7"/>
      <c r="S162" s="7"/>
      <c r="T162" s="7"/>
      <c r="U162" s="7"/>
      <c r="V162" s="7"/>
      <c r="W162" s="7"/>
      <c r="X162" s="7"/>
      <c r="Y162" s="7"/>
    </row>
    <row r="163" spans="1:25" ht="15.75" customHeight="1">
      <c r="A163" s="7"/>
      <c r="B163" s="7"/>
      <c r="C163" s="30"/>
      <c r="D163" s="30"/>
      <c r="E163" s="30"/>
      <c r="F163" s="30"/>
      <c r="G163" s="30"/>
      <c r="H163" s="30"/>
      <c r="I163" s="7"/>
      <c r="J163" s="7"/>
      <c r="K163" s="7"/>
      <c r="L163" s="7"/>
      <c r="M163" s="7"/>
      <c r="N163" s="7"/>
      <c r="O163" s="7"/>
      <c r="P163" s="7"/>
      <c r="Q163" s="7"/>
      <c r="R163" s="7"/>
      <c r="S163" s="7"/>
      <c r="T163" s="7"/>
      <c r="U163" s="7"/>
      <c r="V163" s="7"/>
      <c r="W163" s="7"/>
      <c r="X163" s="7"/>
      <c r="Y163" s="7"/>
    </row>
    <row r="164" spans="1:25" ht="15.75" customHeight="1">
      <c r="A164" s="7"/>
      <c r="B164" s="7"/>
      <c r="C164" s="30"/>
      <c r="D164" s="30"/>
      <c r="E164" s="30"/>
      <c r="F164" s="30"/>
      <c r="G164" s="30"/>
      <c r="H164" s="30"/>
      <c r="I164" s="7"/>
      <c r="J164" s="7"/>
      <c r="K164" s="7"/>
      <c r="L164" s="7"/>
      <c r="M164" s="7"/>
      <c r="N164" s="7"/>
      <c r="O164" s="7"/>
      <c r="P164" s="7"/>
      <c r="Q164" s="7"/>
      <c r="R164" s="7"/>
      <c r="S164" s="7"/>
      <c r="T164" s="7"/>
      <c r="U164" s="7"/>
      <c r="V164" s="7"/>
      <c r="W164" s="7"/>
      <c r="X164" s="7"/>
      <c r="Y164" s="7"/>
    </row>
    <row r="165" spans="1:25" ht="15.75" customHeight="1">
      <c r="A165" s="7"/>
      <c r="B165" s="7"/>
      <c r="C165" s="30"/>
      <c r="D165" s="30"/>
      <c r="E165" s="30"/>
      <c r="F165" s="30"/>
      <c r="G165" s="30"/>
      <c r="H165" s="30"/>
      <c r="I165" s="7"/>
      <c r="J165" s="7"/>
      <c r="K165" s="7"/>
      <c r="L165" s="7"/>
      <c r="M165" s="7"/>
      <c r="N165" s="7"/>
      <c r="O165" s="7"/>
      <c r="P165" s="7"/>
      <c r="Q165" s="7"/>
      <c r="R165" s="7"/>
      <c r="S165" s="7"/>
      <c r="T165" s="7"/>
      <c r="U165" s="7"/>
      <c r="V165" s="7"/>
      <c r="W165" s="7"/>
      <c r="X165" s="7"/>
      <c r="Y165" s="7"/>
    </row>
    <row r="166" spans="1:25" ht="15.75" customHeight="1">
      <c r="A166" s="7"/>
      <c r="B166" s="7"/>
      <c r="C166" s="30"/>
      <c r="D166" s="30"/>
      <c r="E166" s="30"/>
      <c r="F166" s="30"/>
      <c r="G166" s="30"/>
      <c r="H166" s="30"/>
      <c r="I166" s="7"/>
      <c r="J166" s="7"/>
      <c r="K166" s="7"/>
      <c r="L166" s="7"/>
      <c r="M166" s="7"/>
      <c r="N166" s="7"/>
      <c r="O166" s="7"/>
      <c r="P166" s="7"/>
      <c r="Q166" s="7"/>
      <c r="R166" s="7"/>
      <c r="S166" s="7"/>
      <c r="T166" s="7"/>
      <c r="U166" s="7"/>
      <c r="V166" s="7"/>
      <c r="W166" s="7"/>
      <c r="X166" s="7"/>
      <c r="Y166" s="7"/>
    </row>
    <row r="167" spans="1:25" ht="15.75" customHeight="1">
      <c r="A167" s="7"/>
      <c r="B167" s="7"/>
      <c r="C167" s="30"/>
      <c r="D167" s="30"/>
      <c r="E167" s="30"/>
      <c r="F167" s="30"/>
      <c r="G167" s="30"/>
      <c r="H167" s="30"/>
      <c r="I167" s="7"/>
      <c r="J167" s="7"/>
      <c r="K167" s="7"/>
      <c r="L167" s="7"/>
      <c r="M167" s="7"/>
      <c r="N167" s="7"/>
      <c r="O167" s="7"/>
      <c r="P167" s="7"/>
      <c r="Q167" s="7"/>
      <c r="R167" s="7"/>
      <c r="S167" s="7"/>
      <c r="T167" s="7"/>
      <c r="U167" s="7"/>
      <c r="V167" s="7"/>
      <c r="W167" s="7"/>
      <c r="X167" s="7"/>
      <c r="Y167" s="7"/>
    </row>
    <row r="168" spans="1:25" ht="15.75" customHeight="1">
      <c r="A168" s="7"/>
      <c r="B168" s="7"/>
      <c r="C168" s="30"/>
      <c r="D168" s="30"/>
      <c r="E168" s="30"/>
      <c r="F168" s="30"/>
      <c r="G168" s="30"/>
      <c r="H168" s="30"/>
      <c r="I168" s="7"/>
      <c r="J168" s="7"/>
      <c r="K168" s="7"/>
      <c r="L168" s="7"/>
      <c r="M168" s="7"/>
      <c r="N168" s="7"/>
      <c r="O168" s="7"/>
      <c r="P168" s="7"/>
      <c r="Q168" s="7"/>
      <c r="R168" s="7"/>
      <c r="S168" s="7"/>
      <c r="T168" s="7"/>
      <c r="U168" s="7"/>
      <c r="V168" s="7"/>
      <c r="W168" s="7"/>
      <c r="X168" s="7"/>
      <c r="Y168" s="7"/>
    </row>
    <row r="169" spans="1:25" ht="15.75" customHeight="1">
      <c r="A169" s="7"/>
      <c r="B169" s="7"/>
      <c r="C169" s="30"/>
      <c r="D169" s="30"/>
      <c r="E169" s="30"/>
      <c r="F169" s="30"/>
      <c r="G169" s="30"/>
      <c r="H169" s="30"/>
      <c r="I169" s="7"/>
      <c r="J169" s="7"/>
      <c r="K169" s="7"/>
      <c r="L169" s="7"/>
      <c r="M169" s="7"/>
      <c r="N169" s="7"/>
      <c r="O169" s="7"/>
      <c r="P169" s="7"/>
      <c r="Q169" s="7"/>
      <c r="R169" s="7"/>
      <c r="S169" s="7"/>
      <c r="T169" s="7"/>
      <c r="U169" s="7"/>
      <c r="V169" s="7"/>
      <c r="W169" s="7"/>
      <c r="X169" s="7"/>
      <c r="Y169" s="7"/>
    </row>
    <row r="170" spans="1:25" ht="15.75" customHeight="1">
      <c r="A170" s="7"/>
      <c r="B170" s="7"/>
      <c r="C170" s="30"/>
      <c r="D170" s="30"/>
      <c r="E170" s="30"/>
      <c r="F170" s="30"/>
      <c r="G170" s="30"/>
      <c r="H170" s="30"/>
      <c r="I170" s="7"/>
      <c r="J170" s="7"/>
      <c r="K170" s="7"/>
      <c r="L170" s="7"/>
      <c r="M170" s="7"/>
      <c r="N170" s="7"/>
      <c r="O170" s="7"/>
      <c r="P170" s="7"/>
      <c r="Q170" s="7"/>
      <c r="R170" s="7"/>
      <c r="S170" s="7"/>
      <c r="T170" s="7"/>
      <c r="U170" s="7"/>
      <c r="V170" s="7"/>
      <c r="W170" s="7"/>
      <c r="X170" s="7"/>
      <c r="Y170" s="7"/>
    </row>
    <row r="171" spans="1:25" ht="15.75" customHeight="1">
      <c r="A171" s="7"/>
      <c r="B171" s="7"/>
      <c r="C171" s="30"/>
      <c r="D171" s="30"/>
      <c r="E171" s="30"/>
      <c r="F171" s="30"/>
      <c r="G171" s="30"/>
      <c r="H171" s="30"/>
      <c r="I171" s="7"/>
      <c r="J171" s="7"/>
      <c r="K171" s="7"/>
      <c r="L171" s="7"/>
      <c r="M171" s="7"/>
      <c r="N171" s="7"/>
      <c r="O171" s="7"/>
      <c r="P171" s="7"/>
      <c r="Q171" s="7"/>
      <c r="R171" s="7"/>
      <c r="S171" s="7"/>
      <c r="T171" s="7"/>
      <c r="U171" s="7"/>
      <c r="V171" s="7"/>
      <c r="W171" s="7"/>
      <c r="X171" s="7"/>
      <c r="Y171" s="7"/>
    </row>
    <row r="172" spans="1:25" ht="15.75" customHeight="1">
      <c r="A172" s="7"/>
      <c r="B172" s="7"/>
      <c r="C172" s="30"/>
      <c r="D172" s="30"/>
      <c r="E172" s="30"/>
      <c r="F172" s="30"/>
      <c r="G172" s="30"/>
      <c r="H172" s="30"/>
      <c r="I172" s="7"/>
      <c r="J172" s="7"/>
      <c r="K172" s="7"/>
      <c r="L172" s="7"/>
      <c r="M172" s="7"/>
      <c r="N172" s="7"/>
      <c r="O172" s="7"/>
      <c r="P172" s="7"/>
      <c r="Q172" s="7"/>
      <c r="R172" s="7"/>
      <c r="S172" s="7"/>
      <c r="T172" s="7"/>
      <c r="U172" s="7"/>
      <c r="V172" s="7"/>
      <c r="W172" s="7"/>
      <c r="X172" s="7"/>
      <c r="Y172" s="7"/>
    </row>
    <row r="173" spans="1:25" ht="15.75" customHeight="1">
      <c r="A173" s="7"/>
      <c r="B173" s="7"/>
      <c r="C173" s="30"/>
      <c r="D173" s="30"/>
      <c r="E173" s="30"/>
      <c r="F173" s="30"/>
      <c r="G173" s="30"/>
      <c r="H173" s="30"/>
      <c r="I173" s="7"/>
      <c r="J173" s="7"/>
      <c r="K173" s="7"/>
      <c r="L173" s="7"/>
      <c r="M173" s="7"/>
      <c r="N173" s="7"/>
      <c r="O173" s="7"/>
      <c r="P173" s="7"/>
      <c r="Q173" s="7"/>
      <c r="R173" s="7"/>
      <c r="S173" s="7"/>
      <c r="T173" s="7"/>
      <c r="U173" s="7"/>
      <c r="V173" s="7"/>
      <c r="W173" s="7"/>
      <c r="X173" s="7"/>
      <c r="Y173" s="7"/>
    </row>
    <row r="174" spans="1:25" ht="15.75" customHeight="1">
      <c r="A174" s="7"/>
      <c r="B174" s="7"/>
      <c r="C174" s="30"/>
      <c r="D174" s="30"/>
      <c r="E174" s="30"/>
      <c r="F174" s="30"/>
      <c r="G174" s="30"/>
      <c r="H174" s="30"/>
      <c r="I174" s="7"/>
      <c r="J174" s="7"/>
      <c r="K174" s="7"/>
      <c r="L174" s="7"/>
      <c r="M174" s="7"/>
      <c r="N174" s="7"/>
      <c r="O174" s="7"/>
      <c r="P174" s="7"/>
      <c r="Q174" s="7"/>
      <c r="R174" s="7"/>
      <c r="S174" s="7"/>
      <c r="T174" s="7"/>
      <c r="U174" s="7"/>
      <c r="V174" s="7"/>
      <c r="W174" s="7"/>
      <c r="X174" s="7"/>
      <c r="Y174" s="7"/>
    </row>
    <row r="175" spans="1:25" ht="15.75" customHeight="1">
      <c r="A175" s="7"/>
      <c r="B175" s="7"/>
      <c r="C175" s="30"/>
      <c r="D175" s="30"/>
      <c r="E175" s="30"/>
      <c r="F175" s="30"/>
      <c r="G175" s="30"/>
      <c r="H175" s="30"/>
      <c r="I175" s="7"/>
      <c r="J175" s="7"/>
      <c r="K175" s="7"/>
      <c r="L175" s="7"/>
      <c r="M175" s="7"/>
      <c r="N175" s="7"/>
      <c r="O175" s="7"/>
      <c r="P175" s="7"/>
      <c r="Q175" s="7"/>
      <c r="R175" s="7"/>
      <c r="S175" s="7"/>
      <c r="T175" s="7"/>
      <c r="U175" s="7"/>
      <c r="V175" s="7"/>
      <c r="W175" s="7"/>
      <c r="X175" s="7"/>
      <c r="Y175" s="7"/>
    </row>
    <row r="176" spans="1:25" ht="15.75" customHeight="1">
      <c r="A176" s="7"/>
      <c r="B176" s="7"/>
      <c r="C176" s="30"/>
      <c r="D176" s="30"/>
      <c r="E176" s="30"/>
      <c r="F176" s="30"/>
      <c r="G176" s="30"/>
      <c r="H176" s="30"/>
      <c r="I176" s="7"/>
      <c r="J176" s="7"/>
      <c r="K176" s="7"/>
      <c r="L176" s="7"/>
      <c r="M176" s="7"/>
      <c r="N176" s="7"/>
      <c r="O176" s="7"/>
      <c r="P176" s="7"/>
      <c r="Q176" s="7"/>
      <c r="R176" s="7"/>
      <c r="S176" s="7"/>
      <c r="T176" s="7"/>
      <c r="U176" s="7"/>
      <c r="V176" s="7"/>
      <c r="W176" s="7"/>
      <c r="X176" s="7"/>
      <c r="Y176" s="7"/>
    </row>
    <row r="177" spans="1:25" ht="15.75" customHeight="1">
      <c r="A177" s="7"/>
      <c r="B177" s="7"/>
      <c r="C177" s="30"/>
      <c r="D177" s="30"/>
      <c r="E177" s="30"/>
      <c r="F177" s="30"/>
      <c r="G177" s="30"/>
      <c r="H177" s="30"/>
      <c r="I177" s="7"/>
      <c r="J177" s="7"/>
      <c r="K177" s="7"/>
      <c r="L177" s="7"/>
      <c r="M177" s="7"/>
      <c r="N177" s="7"/>
      <c r="O177" s="7"/>
      <c r="P177" s="7"/>
      <c r="Q177" s="7"/>
      <c r="R177" s="7"/>
      <c r="S177" s="7"/>
      <c r="T177" s="7"/>
      <c r="U177" s="7"/>
      <c r="V177" s="7"/>
      <c r="W177" s="7"/>
      <c r="X177" s="7"/>
      <c r="Y177" s="7"/>
    </row>
    <row r="178" spans="1:25" ht="15.75" customHeight="1">
      <c r="A178" s="7"/>
      <c r="B178" s="7"/>
      <c r="C178" s="30"/>
      <c r="D178" s="30"/>
      <c r="E178" s="30"/>
      <c r="F178" s="30"/>
      <c r="G178" s="30"/>
      <c r="H178" s="30"/>
      <c r="I178" s="7"/>
      <c r="J178" s="7"/>
      <c r="K178" s="7"/>
      <c r="L178" s="7"/>
      <c r="M178" s="7"/>
      <c r="N178" s="7"/>
      <c r="O178" s="7"/>
      <c r="P178" s="7"/>
      <c r="Q178" s="7"/>
      <c r="R178" s="7"/>
      <c r="S178" s="7"/>
      <c r="T178" s="7"/>
      <c r="U178" s="7"/>
      <c r="V178" s="7"/>
      <c r="W178" s="7"/>
      <c r="X178" s="7"/>
      <c r="Y178" s="7"/>
    </row>
    <row r="179" spans="1:25" ht="15.75" customHeight="1">
      <c r="A179" s="7"/>
      <c r="B179" s="7"/>
      <c r="C179" s="30"/>
      <c r="D179" s="30"/>
      <c r="E179" s="30"/>
      <c r="F179" s="30"/>
      <c r="G179" s="30"/>
      <c r="H179" s="30"/>
      <c r="I179" s="7"/>
      <c r="J179" s="7"/>
      <c r="K179" s="7"/>
      <c r="L179" s="7"/>
      <c r="M179" s="7"/>
      <c r="N179" s="7"/>
      <c r="O179" s="7"/>
      <c r="P179" s="7"/>
      <c r="Q179" s="7"/>
      <c r="R179" s="7"/>
      <c r="S179" s="7"/>
      <c r="T179" s="7"/>
      <c r="U179" s="7"/>
      <c r="V179" s="7"/>
      <c r="W179" s="7"/>
      <c r="X179" s="7"/>
      <c r="Y179" s="7"/>
    </row>
    <row r="180" spans="1:25" ht="15.75" customHeight="1">
      <c r="A180" s="7"/>
      <c r="B180" s="7"/>
      <c r="C180" s="30"/>
      <c r="D180" s="30"/>
      <c r="E180" s="30"/>
      <c r="F180" s="30"/>
      <c r="G180" s="30"/>
      <c r="H180" s="30"/>
      <c r="I180" s="7"/>
      <c r="J180" s="7"/>
      <c r="K180" s="7"/>
      <c r="L180" s="7"/>
      <c r="M180" s="7"/>
      <c r="N180" s="7"/>
      <c r="O180" s="7"/>
      <c r="P180" s="7"/>
      <c r="Q180" s="7"/>
      <c r="R180" s="7"/>
      <c r="S180" s="7"/>
      <c r="T180" s="7"/>
      <c r="U180" s="7"/>
      <c r="V180" s="7"/>
      <c r="W180" s="7"/>
      <c r="X180" s="7"/>
      <c r="Y180" s="7"/>
    </row>
    <row r="181" spans="1:25" ht="15.75" customHeight="1">
      <c r="A181" s="7"/>
      <c r="B181" s="7"/>
      <c r="C181" s="30"/>
      <c r="D181" s="30"/>
      <c r="E181" s="30"/>
      <c r="F181" s="30"/>
      <c r="G181" s="30"/>
      <c r="H181" s="30"/>
      <c r="I181" s="7"/>
      <c r="J181" s="7"/>
      <c r="K181" s="7"/>
      <c r="L181" s="7"/>
      <c r="M181" s="7"/>
      <c r="N181" s="7"/>
      <c r="O181" s="7"/>
      <c r="P181" s="7"/>
      <c r="Q181" s="7"/>
      <c r="R181" s="7"/>
      <c r="S181" s="7"/>
      <c r="T181" s="7"/>
      <c r="U181" s="7"/>
      <c r="V181" s="7"/>
      <c r="W181" s="7"/>
      <c r="X181" s="7"/>
      <c r="Y181" s="7"/>
    </row>
    <row r="182" spans="1:25" ht="15.75" customHeight="1">
      <c r="A182" s="7"/>
      <c r="B182" s="7"/>
      <c r="C182" s="30"/>
      <c r="D182" s="30"/>
      <c r="E182" s="30"/>
      <c r="F182" s="30"/>
      <c r="G182" s="30"/>
      <c r="H182" s="30"/>
      <c r="I182" s="7"/>
      <c r="J182" s="7"/>
      <c r="K182" s="7"/>
      <c r="L182" s="7"/>
      <c r="M182" s="7"/>
      <c r="N182" s="7"/>
      <c r="O182" s="7"/>
      <c r="P182" s="7"/>
      <c r="Q182" s="7"/>
      <c r="R182" s="7"/>
      <c r="S182" s="7"/>
      <c r="T182" s="7"/>
      <c r="U182" s="7"/>
      <c r="V182" s="7"/>
      <c r="W182" s="7"/>
      <c r="X182" s="7"/>
      <c r="Y182" s="7"/>
    </row>
    <row r="183" spans="1:25" ht="15.75" customHeight="1">
      <c r="A183" s="7"/>
      <c r="B183" s="7"/>
      <c r="C183" s="30"/>
      <c r="D183" s="30"/>
      <c r="E183" s="30"/>
      <c r="F183" s="30"/>
      <c r="G183" s="30"/>
      <c r="H183" s="30"/>
      <c r="I183" s="7"/>
      <c r="J183" s="7"/>
      <c r="K183" s="7"/>
      <c r="L183" s="7"/>
      <c r="M183" s="7"/>
      <c r="N183" s="7"/>
      <c r="O183" s="7"/>
      <c r="P183" s="7"/>
      <c r="Q183" s="7"/>
      <c r="R183" s="7"/>
      <c r="S183" s="7"/>
      <c r="T183" s="7"/>
      <c r="U183" s="7"/>
      <c r="V183" s="7"/>
      <c r="W183" s="7"/>
      <c r="X183" s="7"/>
      <c r="Y183" s="7"/>
    </row>
    <row r="184" spans="1:25" ht="15.75" customHeight="1">
      <c r="A184" s="7"/>
      <c r="B184" s="7"/>
      <c r="C184" s="30"/>
      <c r="D184" s="30"/>
      <c r="E184" s="30"/>
      <c r="F184" s="30"/>
      <c r="G184" s="30"/>
      <c r="H184" s="30"/>
      <c r="I184" s="7"/>
      <c r="J184" s="7"/>
      <c r="K184" s="7"/>
      <c r="L184" s="7"/>
      <c r="M184" s="7"/>
      <c r="N184" s="7"/>
      <c r="O184" s="7"/>
      <c r="P184" s="7"/>
      <c r="Q184" s="7"/>
      <c r="R184" s="7"/>
      <c r="S184" s="7"/>
      <c r="T184" s="7"/>
      <c r="U184" s="7"/>
      <c r="V184" s="7"/>
      <c r="W184" s="7"/>
      <c r="X184" s="7"/>
      <c r="Y184" s="7"/>
    </row>
    <row r="185" spans="1:25" ht="15.75" customHeight="1">
      <c r="A185" s="7"/>
      <c r="B185" s="7"/>
      <c r="C185" s="30"/>
      <c r="D185" s="30"/>
      <c r="E185" s="30"/>
      <c r="F185" s="30"/>
      <c r="G185" s="30"/>
      <c r="H185" s="30"/>
      <c r="I185" s="7"/>
      <c r="J185" s="7"/>
      <c r="K185" s="7"/>
      <c r="L185" s="7"/>
      <c r="M185" s="7"/>
      <c r="N185" s="7"/>
      <c r="O185" s="7"/>
      <c r="P185" s="7"/>
      <c r="Q185" s="7"/>
      <c r="R185" s="7"/>
      <c r="S185" s="7"/>
      <c r="T185" s="7"/>
      <c r="U185" s="7"/>
      <c r="V185" s="7"/>
      <c r="W185" s="7"/>
      <c r="X185" s="7"/>
      <c r="Y185" s="7"/>
    </row>
    <row r="186" spans="1:25" ht="15.75" customHeight="1">
      <c r="A186" s="7"/>
      <c r="B186" s="7"/>
      <c r="C186" s="30"/>
      <c r="D186" s="30"/>
      <c r="E186" s="30"/>
      <c r="F186" s="30"/>
      <c r="G186" s="30"/>
      <c r="H186" s="30"/>
      <c r="I186" s="7"/>
      <c r="J186" s="7"/>
      <c r="K186" s="7"/>
      <c r="L186" s="7"/>
      <c r="M186" s="7"/>
      <c r="N186" s="7"/>
      <c r="O186" s="7"/>
      <c r="P186" s="7"/>
      <c r="Q186" s="7"/>
      <c r="R186" s="7"/>
      <c r="S186" s="7"/>
      <c r="T186" s="7"/>
      <c r="U186" s="7"/>
      <c r="V186" s="7"/>
      <c r="W186" s="7"/>
      <c r="X186" s="7"/>
      <c r="Y186" s="7"/>
    </row>
    <row r="187" spans="1:25" ht="15.75" customHeight="1">
      <c r="A187" s="7"/>
      <c r="B187" s="7"/>
      <c r="C187" s="30"/>
      <c r="D187" s="30"/>
      <c r="E187" s="30"/>
      <c r="F187" s="30"/>
      <c r="G187" s="30"/>
      <c r="H187" s="30"/>
      <c r="I187" s="7"/>
      <c r="J187" s="7"/>
      <c r="K187" s="7"/>
      <c r="L187" s="7"/>
      <c r="M187" s="7"/>
      <c r="N187" s="7"/>
      <c r="O187" s="7"/>
      <c r="P187" s="7"/>
      <c r="Q187" s="7"/>
      <c r="R187" s="7"/>
      <c r="S187" s="7"/>
      <c r="T187" s="7"/>
      <c r="U187" s="7"/>
      <c r="V187" s="7"/>
      <c r="W187" s="7"/>
      <c r="X187" s="7"/>
      <c r="Y187" s="7"/>
    </row>
    <row r="188" spans="1:25" ht="15.75" customHeight="1">
      <c r="A188" s="7"/>
      <c r="B188" s="7"/>
      <c r="C188" s="30"/>
      <c r="D188" s="30"/>
      <c r="E188" s="30"/>
      <c r="F188" s="30"/>
      <c r="G188" s="30"/>
      <c r="H188" s="30"/>
      <c r="I188" s="7"/>
      <c r="J188" s="7"/>
      <c r="K188" s="7"/>
      <c r="L188" s="7"/>
      <c r="M188" s="7"/>
      <c r="N188" s="7"/>
      <c r="O188" s="7"/>
      <c r="P188" s="7"/>
      <c r="Q188" s="7"/>
      <c r="R188" s="7"/>
      <c r="S188" s="7"/>
      <c r="T188" s="7"/>
      <c r="U188" s="7"/>
      <c r="V188" s="7"/>
      <c r="W188" s="7"/>
      <c r="X188" s="7"/>
      <c r="Y188" s="7"/>
    </row>
    <row r="189" spans="1:25" ht="15.75" customHeight="1">
      <c r="A189" s="7"/>
      <c r="B189" s="7"/>
      <c r="C189" s="30"/>
      <c r="D189" s="30"/>
      <c r="E189" s="30"/>
      <c r="F189" s="30"/>
      <c r="G189" s="30"/>
      <c r="H189" s="30"/>
      <c r="I189" s="7"/>
      <c r="J189" s="7"/>
      <c r="K189" s="7"/>
      <c r="L189" s="7"/>
      <c r="M189" s="7"/>
      <c r="N189" s="7"/>
      <c r="O189" s="7"/>
      <c r="P189" s="7"/>
      <c r="Q189" s="7"/>
      <c r="R189" s="7"/>
      <c r="S189" s="7"/>
      <c r="T189" s="7"/>
      <c r="U189" s="7"/>
      <c r="V189" s="7"/>
      <c r="W189" s="7"/>
      <c r="X189" s="7"/>
      <c r="Y189" s="7"/>
    </row>
    <row r="190" spans="1:25" ht="15.75" customHeight="1">
      <c r="A190" s="7"/>
      <c r="B190" s="7"/>
      <c r="C190" s="30"/>
      <c r="D190" s="30"/>
      <c r="E190" s="30"/>
      <c r="F190" s="30"/>
      <c r="G190" s="30"/>
      <c r="H190" s="30"/>
      <c r="I190" s="7"/>
      <c r="J190" s="7"/>
      <c r="K190" s="7"/>
      <c r="L190" s="7"/>
      <c r="M190" s="7"/>
      <c r="N190" s="7"/>
      <c r="O190" s="7"/>
      <c r="P190" s="7"/>
      <c r="Q190" s="7"/>
      <c r="R190" s="7"/>
      <c r="S190" s="7"/>
      <c r="T190" s="7"/>
      <c r="U190" s="7"/>
      <c r="V190" s="7"/>
      <c r="W190" s="7"/>
      <c r="X190" s="7"/>
      <c r="Y190" s="7"/>
    </row>
    <row r="191" spans="1:25" ht="15.75" customHeight="1">
      <c r="A191" s="7"/>
      <c r="B191" s="7"/>
      <c r="C191" s="30"/>
      <c r="D191" s="30"/>
      <c r="E191" s="30"/>
      <c r="F191" s="30"/>
      <c r="G191" s="30"/>
      <c r="H191" s="30"/>
      <c r="I191" s="7"/>
      <c r="J191" s="7"/>
      <c r="K191" s="7"/>
      <c r="L191" s="7"/>
      <c r="M191" s="7"/>
      <c r="N191" s="7"/>
      <c r="O191" s="7"/>
      <c r="P191" s="7"/>
      <c r="Q191" s="7"/>
      <c r="R191" s="7"/>
      <c r="S191" s="7"/>
      <c r="T191" s="7"/>
      <c r="U191" s="7"/>
      <c r="V191" s="7"/>
      <c r="W191" s="7"/>
      <c r="X191" s="7"/>
      <c r="Y191" s="7"/>
    </row>
    <row r="192" spans="1:25" ht="15.75" customHeight="1">
      <c r="A192" s="7"/>
      <c r="B192" s="7"/>
      <c r="C192" s="30"/>
      <c r="D192" s="30"/>
      <c r="E192" s="30"/>
      <c r="F192" s="30"/>
      <c r="G192" s="30"/>
      <c r="H192" s="30"/>
      <c r="I192" s="7"/>
      <c r="J192" s="7"/>
      <c r="K192" s="7"/>
      <c r="L192" s="7"/>
      <c r="M192" s="7"/>
      <c r="N192" s="7"/>
      <c r="O192" s="7"/>
      <c r="P192" s="7"/>
      <c r="Q192" s="7"/>
      <c r="R192" s="7"/>
      <c r="S192" s="7"/>
      <c r="T192" s="7"/>
      <c r="U192" s="7"/>
      <c r="V192" s="7"/>
      <c r="W192" s="7"/>
      <c r="X192" s="7"/>
      <c r="Y192" s="7"/>
    </row>
    <row r="193" spans="1:25" ht="15.75" customHeight="1">
      <c r="A193" s="7"/>
      <c r="B193" s="7"/>
      <c r="C193" s="30"/>
      <c r="D193" s="30"/>
      <c r="E193" s="30"/>
      <c r="F193" s="30"/>
      <c r="G193" s="30"/>
      <c r="H193" s="30"/>
      <c r="I193" s="7"/>
      <c r="J193" s="7"/>
      <c r="K193" s="7"/>
      <c r="L193" s="7"/>
      <c r="M193" s="7"/>
      <c r="N193" s="7"/>
      <c r="O193" s="7"/>
      <c r="P193" s="7"/>
      <c r="Q193" s="7"/>
      <c r="R193" s="7"/>
      <c r="S193" s="7"/>
      <c r="T193" s="7"/>
      <c r="U193" s="7"/>
      <c r="V193" s="7"/>
      <c r="W193" s="7"/>
      <c r="X193" s="7"/>
      <c r="Y193" s="7"/>
    </row>
    <row r="194" spans="1:25" ht="15.75" customHeight="1">
      <c r="A194" s="7"/>
      <c r="B194" s="7"/>
      <c r="C194" s="30"/>
      <c r="D194" s="30"/>
      <c r="E194" s="30"/>
      <c r="F194" s="30"/>
      <c r="G194" s="30"/>
      <c r="H194" s="30"/>
      <c r="I194" s="7"/>
      <c r="J194" s="7"/>
      <c r="K194" s="7"/>
      <c r="L194" s="7"/>
      <c r="M194" s="7"/>
      <c r="N194" s="7"/>
      <c r="O194" s="7"/>
      <c r="P194" s="7"/>
      <c r="Q194" s="7"/>
      <c r="R194" s="7"/>
      <c r="S194" s="7"/>
      <c r="T194" s="7"/>
      <c r="U194" s="7"/>
      <c r="V194" s="7"/>
      <c r="W194" s="7"/>
      <c r="X194" s="7"/>
      <c r="Y194" s="7"/>
    </row>
    <row r="195" spans="1:25" ht="15.75" customHeight="1">
      <c r="A195" s="7"/>
      <c r="B195" s="7"/>
      <c r="C195" s="30"/>
      <c r="D195" s="30"/>
      <c r="E195" s="30"/>
      <c r="F195" s="30"/>
      <c r="G195" s="30"/>
      <c r="H195" s="30"/>
      <c r="I195" s="7"/>
      <c r="J195" s="7"/>
      <c r="K195" s="7"/>
      <c r="L195" s="7"/>
      <c r="M195" s="7"/>
      <c r="N195" s="7"/>
      <c r="O195" s="7"/>
      <c r="P195" s="7"/>
      <c r="Q195" s="7"/>
      <c r="R195" s="7"/>
      <c r="S195" s="7"/>
      <c r="T195" s="7"/>
      <c r="U195" s="7"/>
      <c r="V195" s="7"/>
      <c r="W195" s="7"/>
      <c r="X195" s="7"/>
      <c r="Y195" s="7"/>
    </row>
    <row r="196" spans="1:25" ht="15.75" customHeight="1">
      <c r="A196" s="7"/>
      <c r="B196" s="7"/>
      <c r="C196" s="30"/>
      <c r="D196" s="30"/>
      <c r="E196" s="30"/>
      <c r="F196" s="30"/>
      <c r="G196" s="30"/>
      <c r="H196" s="30"/>
      <c r="I196" s="7"/>
      <c r="J196" s="7"/>
      <c r="K196" s="7"/>
      <c r="L196" s="7"/>
      <c r="M196" s="7"/>
      <c r="N196" s="7"/>
      <c r="O196" s="7"/>
      <c r="P196" s="7"/>
      <c r="Q196" s="7"/>
      <c r="R196" s="7"/>
      <c r="S196" s="7"/>
      <c r="T196" s="7"/>
      <c r="U196" s="7"/>
      <c r="V196" s="7"/>
      <c r="W196" s="7"/>
      <c r="X196" s="7"/>
      <c r="Y196" s="7"/>
    </row>
    <row r="197" spans="1:25" ht="15.75" customHeight="1">
      <c r="A197" s="7"/>
      <c r="B197" s="7"/>
      <c r="C197" s="30"/>
      <c r="D197" s="30"/>
      <c r="E197" s="30"/>
      <c r="F197" s="30"/>
      <c r="G197" s="30"/>
      <c r="H197" s="30"/>
      <c r="I197" s="7"/>
      <c r="J197" s="7"/>
      <c r="K197" s="7"/>
      <c r="L197" s="7"/>
      <c r="M197" s="7"/>
      <c r="N197" s="7"/>
      <c r="O197" s="7"/>
      <c r="P197" s="7"/>
      <c r="Q197" s="7"/>
      <c r="R197" s="7"/>
      <c r="S197" s="7"/>
      <c r="T197" s="7"/>
      <c r="U197" s="7"/>
      <c r="V197" s="7"/>
      <c r="W197" s="7"/>
      <c r="X197" s="7"/>
      <c r="Y197" s="7"/>
    </row>
    <row r="198" spans="1:25" ht="15.75" customHeight="1">
      <c r="A198" s="7"/>
      <c r="B198" s="7"/>
      <c r="C198" s="30"/>
      <c r="D198" s="30"/>
      <c r="E198" s="30"/>
      <c r="F198" s="30"/>
      <c r="G198" s="30"/>
      <c r="H198" s="30"/>
      <c r="I198" s="7"/>
      <c r="J198" s="7"/>
      <c r="K198" s="7"/>
      <c r="L198" s="7"/>
      <c r="M198" s="7"/>
      <c r="N198" s="7"/>
      <c r="O198" s="7"/>
      <c r="P198" s="7"/>
      <c r="Q198" s="7"/>
      <c r="R198" s="7"/>
      <c r="S198" s="7"/>
      <c r="T198" s="7"/>
      <c r="U198" s="7"/>
      <c r="V198" s="7"/>
      <c r="W198" s="7"/>
      <c r="X198" s="7"/>
      <c r="Y198" s="7"/>
    </row>
    <row r="199" spans="1:25" ht="15.75" customHeight="1">
      <c r="A199" s="7"/>
      <c r="B199" s="7"/>
      <c r="C199" s="30"/>
      <c r="D199" s="30"/>
      <c r="E199" s="30"/>
      <c r="F199" s="30"/>
      <c r="G199" s="30"/>
      <c r="H199" s="30"/>
      <c r="I199" s="7"/>
      <c r="J199" s="7"/>
      <c r="K199" s="7"/>
      <c r="L199" s="7"/>
      <c r="M199" s="7"/>
      <c r="N199" s="7"/>
      <c r="O199" s="7"/>
      <c r="P199" s="7"/>
      <c r="Q199" s="7"/>
      <c r="R199" s="7"/>
      <c r="S199" s="7"/>
      <c r="T199" s="7"/>
      <c r="U199" s="7"/>
      <c r="V199" s="7"/>
      <c r="W199" s="7"/>
      <c r="X199" s="7"/>
      <c r="Y199" s="7"/>
    </row>
    <row r="200" spans="1:25" ht="15.75" customHeight="1">
      <c r="A200" s="7"/>
      <c r="B200" s="7"/>
      <c r="C200" s="30"/>
      <c r="D200" s="30"/>
      <c r="E200" s="30"/>
      <c r="F200" s="30"/>
      <c r="G200" s="30"/>
      <c r="H200" s="30"/>
      <c r="I200" s="7"/>
      <c r="J200" s="7"/>
      <c r="K200" s="7"/>
      <c r="L200" s="7"/>
      <c r="M200" s="7"/>
      <c r="N200" s="7"/>
      <c r="O200" s="7"/>
      <c r="P200" s="7"/>
      <c r="Q200" s="7"/>
      <c r="R200" s="7"/>
      <c r="S200" s="7"/>
      <c r="T200" s="7"/>
      <c r="U200" s="7"/>
      <c r="V200" s="7"/>
      <c r="W200" s="7"/>
      <c r="X200" s="7"/>
      <c r="Y200" s="7"/>
    </row>
    <row r="201" spans="1:25" ht="15.75" customHeight="1">
      <c r="A201" s="7"/>
      <c r="B201" s="7"/>
      <c r="C201" s="30"/>
      <c r="D201" s="30"/>
      <c r="E201" s="30"/>
      <c r="F201" s="30"/>
      <c r="G201" s="30"/>
      <c r="H201" s="30"/>
      <c r="I201" s="7"/>
      <c r="J201" s="7"/>
      <c r="K201" s="7"/>
      <c r="L201" s="7"/>
      <c r="M201" s="7"/>
      <c r="N201" s="7"/>
      <c r="O201" s="7"/>
      <c r="P201" s="7"/>
      <c r="Q201" s="7"/>
      <c r="R201" s="7"/>
      <c r="S201" s="7"/>
      <c r="T201" s="7"/>
      <c r="U201" s="7"/>
      <c r="V201" s="7"/>
      <c r="W201" s="7"/>
      <c r="X201" s="7"/>
      <c r="Y201" s="7"/>
    </row>
    <row r="202" spans="1:25" ht="15.75" customHeight="1">
      <c r="A202" s="7"/>
      <c r="B202" s="7"/>
      <c r="C202" s="30"/>
      <c r="D202" s="30"/>
      <c r="E202" s="30"/>
      <c r="F202" s="30"/>
      <c r="G202" s="30"/>
      <c r="H202" s="30"/>
      <c r="I202" s="7"/>
      <c r="J202" s="7"/>
      <c r="K202" s="7"/>
      <c r="L202" s="7"/>
      <c r="M202" s="7"/>
      <c r="N202" s="7"/>
      <c r="O202" s="7"/>
      <c r="P202" s="7"/>
      <c r="Q202" s="7"/>
      <c r="R202" s="7"/>
      <c r="S202" s="7"/>
      <c r="T202" s="7"/>
      <c r="U202" s="7"/>
      <c r="V202" s="7"/>
      <c r="W202" s="7"/>
      <c r="X202" s="7"/>
      <c r="Y202" s="7"/>
    </row>
    <row r="203" spans="1:25" ht="15.75" customHeight="1">
      <c r="A203" s="7"/>
      <c r="B203" s="7"/>
      <c r="C203" s="30"/>
      <c r="D203" s="30"/>
      <c r="E203" s="30"/>
      <c r="F203" s="30"/>
      <c r="G203" s="30"/>
      <c r="H203" s="30"/>
      <c r="I203" s="7"/>
      <c r="J203" s="7"/>
      <c r="K203" s="7"/>
      <c r="L203" s="7"/>
      <c r="M203" s="7"/>
      <c r="N203" s="7"/>
      <c r="O203" s="7"/>
      <c r="P203" s="7"/>
      <c r="Q203" s="7"/>
      <c r="R203" s="7"/>
      <c r="S203" s="7"/>
      <c r="T203" s="7"/>
      <c r="U203" s="7"/>
      <c r="V203" s="7"/>
      <c r="W203" s="7"/>
      <c r="X203" s="7"/>
      <c r="Y203" s="7"/>
    </row>
    <row r="204" spans="1:25" ht="15.75" customHeight="1">
      <c r="A204" s="7"/>
      <c r="B204" s="7"/>
      <c r="C204" s="30"/>
      <c r="D204" s="30"/>
      <c r="E204" s="30"/>
      <c r="F204" s="30"/>
      <c r="G204" s="30"/>
      <c r="H204" s="30"/>
      <c r="I204" s="7"/>
      <c r="J204" s="7"/>
      <c r="K204" s="7"/>
      <c r="L204" s="7"/>
      <c r="M204" s="7"/>
      <c r="N204" s="7"/>
      <c r="O204" s="7"/>
      <c r="P204" s="7"/>
      <c r="Q204" s="7"/>
      <c r="R204" s="7"/>
      <c r="S204" s="7"/>
      <c r="T204" s="7"/>
      <c r="U204" s="7"/>
      <c r="V204" s="7"/>
      <c r="W204" s="7"/>
      <c r="X204" s="7"/>
      <c r="Y204" s="7"/>
    </row>
    <row r="205" spans="1:25" ht="15.75" customHeight="1">
      <c r="A205" s="7"/>
      <c r="B205" s="7"/>
      <c r="C205" s="30"/>
      <c r="D205" s="30"/>
      <c r="E205" s="30"/>
      <c r="F205" s="30"/>
      <c r="G205" s="30"/>
      <c r="H205" s="30"/>
      <c r="I205" s="7"/>
      <c r="J205" s="7"/>
      <c r="K205" s="7"/>
      <c r="L205" s="7"/>
      <c r="M205" s="7"/>
      <c r="N205" s="7"/>
      <c r="O205" s="7"/>
      <c r="P205" s="7"/>
      <c r="Q205" s="7"/>
      <c r="R205" s="7"/>
      <c r="S205" s="7"/>
      <c r="T205" s="7"/>
      <c r="U205" s="7"/>
      <c r="V205" s="7"/>
      <c r="W205" s="7"/>
      <c r="X205" s="7"/>
      <c r="Y205" s="7"/>
    </row>
    <row r="206" spans="1:25" ht="15.75" customHeight="1">
      <c r="A206" s="7"/>
      <c r="B206" s="7"/>
      <c r="C206" s="30"/>
      <c r="D206" s="30"/>
      <c r="E206" s="30"/>
      <c r="F206" s="30"/>
      <c r="G206" s="30"/>
      <c r="H206" s="30"/>
      <c r="I206" s="7"/>
      <c r="J206" s="7"/>
      <c r="K206" s="7"/>
      <c r="L206" s="7"/>
      <c r="M206" s="7"/>
      <c r="N206" s="7"/>
      <c r="O206" s="7"/>
      <c r="P206" s="7"/>
      <c r="Q206" s="7"/>
      <c r="R206" s="7"/>
      <c r="S206" s="7"/>
      <c r="T206" s="7"/>
      <c r="U206" s="7"/>
      <c r="V206" s="7"/>
      <c r="W206" s="7"/>
      <c r="X206" s="7"/>
      <c r="Y206" s="7"/>
    </row>
    <row r="207" spans="1:25" ht="15.75" customHeight="1">
      <c r="A207" s="7"/>
      <c r="B207" s="7"/>
      <c r="C207" s="30"/>
      <c r="D207" s="30"/>
      <c r="E207" s="30"/>
      <c r="F207" s="30"/>
      <c r="G207" s="30"/>
      <c r="H207" s="30"/>
      <c r="I207" s="7"/>
      <c r="J207" s="7"/>
      <c r="K207" s="7"/>
      <c r="L207" s="7"/>
      <c r="M207" s="7"/>
      <c r="N207" s="7"/>
      <c r="O207" s="7"/>
      <c r="P207" s="7"/>
      <c r="Q207" s="7"/>
      <c r="R207" s="7"/>
      <c r="S207" s="7"/>
      <c r="T207" s="7"/>
      <c r="U207" s="7"/>
      <c r="V207" s="7"/>
      <c r="W207" s="7"/>
      <c r="X207" s="7"/>
      <c r="Y207" s="7"/>
    </row>
    <row r="208" spans="1:25" ht="15.75" customHeight="1">
      <c r="A208" s="7"/>
      <c r="B208" s="7"/>
      <c r="C208" s="30"/>
      <c r="D208" s="30"/>
      <c r="E208" s="30"/>
      <c r="F208" s="30"/>
      <c r="G208" s="30"/>
      <c r="H208" s="30"/>
      <c r="I208" s="7"/>
      <c r="J208" s="7"/>
      <c r="K208" s="7"/>
      <c r="L208" s="7"/>
      <c r="M208" s="7"/>
      <c r="N208" s="7"/>
      <c r="O208" s="7"/>
      <c r="P208" s="7"/>
      <c r="Q208" s="7"/>
      <c r="R208" s="7"/>
      <c r="S208" s="7"/>
      <c r="T208" s="7"/>
      <c r="U208" s="7"/>
      <c r="V208" s="7"/>
      <c r="W208" s="7"/>
      <c r="X208" s="7"/>
      <c r="Y208" s="7"/>
    </row>
    <row r="209" spans="1:25" ht="15.75" customHeight="1">
      <c r="A209" s="7"/>
      <c r="B209" s="7"/>
      <c r="C209" s="30"/>
      <c r="D209" s="30"/>
      <c r="E209" s="30"/>
      <c r="F209" s="30"/>
      <c r="G209" s="30"/>
      <c r="H209" s="30"/>
      <c r="I209" s="7"/>
      <c r="J209" s="7"/>
      <c r="K209" s="7"/>
      <c r="L209" s="7"/>
      <c r="M209" s="7"/>
      <c r="N209" s="7"/>
      <c r="O209" s="7"/>
      <c r="P209" s="7"/>
      <c r="Q209" s="7"/>
      <c r="R209" s="7"/>
      <c r="S209" s="7"/>
      <c r="T209" s="7"/>
      <c r="U209" s="7"/>
      <c r="V209" s="7"/>
      <c r="W209" s="7"/>
      <c r="X209" s="7"/>
      <c r="Y209" s="7"/>
    </row>
    <row r="210" spans="1:25" ht="15.75" customHeight="1">
      <c r="A210" s="7"/>
      <c r="B210" s="7"/>
      <c r="C210" s="30"/>
      <c r="D210" s="30"/>
      <c r="E210" s="30"/>
      <c r="F210" s="30"/>
      <c r="G210" s="30"/>
      <c r="H210" s="30"/>
      <c r="I210" s="7"/>
      <c r="J210" s="7"/>
      <c r="K210" s="7"/>
      <c r="L210" s="7"/>
      <c r="M210" s="7"/>
      <c r="N210" s="7"/>
      <c r="O210" s="7"/>
      <c r="P210" s="7"/>
      <c r="Q210" s="7"/>
      <c r="R210" s="7"/>
      <c r="S210" s="7"/>
      <c r="T210" s="7"/>
      <c r="U210" s="7"/>
      <c r="V210" s="7"/>
      <c r="W210" s="7"/>
      <c r="X210" s="7"/>
      <c r="Y210" s="7"/>
    </row>
    <row r="211" spans="1:25" ht="15.75" customHeight="1">
      <c r="A211" s="7"/>
      <c r="B211" s="7"/>
      <c r="C211" s="30"/>
      <c r="D211" s="30"/>
      <c r="E211" s="30"/>
      <c r="F211" s="30"/>
      <c r="G211" s="30"/>
      <c r="H211" s="30"/>
      <c r="I211" s="7"/>
      <c r="J211" s="7"/>
      <c r="K211" s="7"/>
      <c r="L211" s="7"/>
      <c r="M211" s="7"/>
      <c r="N211" s="7"/>
      <c r="O211" s="7"/>
      <c r="P211" s="7"/>
      <c r="Q211" s="7"/>
      <c r="R211" s="7"/>
      <c r="S211" s="7"/>
      <c r="T211" s="7"/>
      <c r="U211" s="7"/>
      <c r="V211" s="7"/>
      <c r="W211" s="7"/>
      <c r="X211" s="7"/>
      <c r="Y211" s="7"/>
    </row>
    <row r="212" spans="1:25" ht="15.75" customHeight="1">
      <c r="A212" s="7"/>
      <c r="B212" s="7"/>
      <c r="C212" s="30"/>
      <c r="D212" s="30"/>
      <c r="E212" s="30"/>
      <c r="F212" s="30"/>
      <c r="G212" s="30"/>
      <c r="H212" s="30"/>
      <c r="I212" s="7"/>
      <c r="J212" s="7"/>
      <c r="K212" s="7"/>
      <c r="L212" s="7"/>
      <c r="M212" s="7"/>
      <c r="N212" s="7"/>
      <c r="O212" s="7"/>
      <c r="P212" s="7"/>
      <c r="Q212" s="7"/>
      <c r="R212" s="7"/>
      <c r="S212" s="7"/>
      <c r="T212" s="7"/>
      <c r="U212" s="7"/>
      <c r="V212" s="7"/>
      <c r="W212" s="7"/>
      <c r="X212" s="7"/>
      <c r="Y212" s="7"/>
    </row>
    <row r="213" spans="1:25" ht="15.75" customHeight="1">
      <c r="A213" s="7"/>
      <c r="B213" s="7"/>
      <c r="C213" s="30"/>
      <c r="D213" s="30"/>
      <c r="E213" s="30"/>
      <c r="F213" s="30"/>
      <c r="G213" s="30"/>
      <c r="H213" s="30"/>
      <c r="I213" s="7"/>
      <c r="J213" s="7"/>
      <c r="K213" s="7"/>
      <c r="L213" s="7"/>
      <c r="M213" s="7"/>
      <c r="N213" s="7"/>
      <c r="O213" s="7"/>
      <c r="P213" s="7"/>
      <c r="Q213" s="7"/>
      <c r="R213" s="7"/>
      <c r="S213" s="7"/>
      <c r="T213" s="7"/>
      <c r="U213" s="7"/>
      <c r="V213" s="7"/>
      <c r="W213" s="7"/>
      <c r="X213" s="7"/>
      <c r="Y213" s="7"/>
    </row>
    <row r="214" spans="1:25" ht="15.75" customHeight="1">
      <c r="A214" s="7"/>
      <c r="B214" s="7"/>
      <c r="C214" s="30"/>
      <c r="D214" s="30"/>
      <c r="E214" s="30"/>
      <c r="F214" s="30"/>
      <c r="G214" s="30"/>
      <c r="H214" s="30"/>
      <c r="I214" s="7"/>
      <c r="J214" s="7"/>
      <c r="K214" s="7"/>
      <c r="L214" s="7"/>
      <c r="M214" s="7"/>
      <c r="N214" s="7"/>
      <c r="O214" s="7"/>
      <c r="P214" s="7"/>
      <c r="Q214" s="7"/>
      <c r="R214" s="7"/>
      <c r="S214" s="7"/>
      <c r="T214" s="7"/>
      <c r="U214" s="7"/>
      <c r="V214" s="7"/>
      <c r="W214" s="7"/>
      <c r="X214" s="7"/>
      <c r="Y214" s="7"/>
    </row>
    <row r="215" spans="1:25" ht="15.75" customHeight="1">
      <c r="A215" s="7"/>
      <c r="B215" s="7"/>
      <c r="C215" s="30"/>
      <c r="D215" s="30"/>
      <c r="E215" s="30"/>
      <c r="F215" s="30"/>
      <c r="G215" s="30"/>
      <c r="H215" s="30"/>
      <c r="I215" s="7"/>
      <c r="J215" s="7"/>
      <c r="K215" s="7"/>
      <c r="L215" s="7"/>
      <c r="M215" s="7"/>
      <c r="N215" s="7"/>
      <c r="O215" s="7"/>
      <c r="P215" s="7"/>
      <c r="Q215" s="7"/>
      <c r="R215" s="7"/>
      <c r="S215" s="7"/>
      <c r="T215" s="7"/>
      <c r="U215" s="7"/>
      <c r="V215" s="7"/>
      <c r="W215" s="7"/>
      <c r="X215" s="7"/>
      <c r="Y215" s="7"/>
    </row>
    <row r="216" spans="1:25" ht="15.75" customHeight="1">
      <c r="A216" s="7"/>
      <c r="B216" s="7"/>
      <c r="C216" s="30"/>
      <c r="D216" s="30"/>
      <c r="E216" s="30"/>
      <c r="F216" s="30"/>
      <c r="G216" s="30"/>
      <c r="H216" s="30"/>
      <c r="I216" s="7"/>
      <c r="J216" s="7"/>
      <c r="K216" s="7"/>
      <c r="L216" s="7"/>
      <c r="M216" s="7"/>
      <c r="N216" s="7"/>
      <c r="O216" s="7"/>
      <c r="P216" s="7"/>
      <c r="Q216" s="7"/>
      <c r="R216" s="7"/>
      <c r="S216" s="7"/>
      <c r="T216" s="7"/>
      <c r="U216" s="7"/>
      <c r="V216" s="7"/>
      <c r="W216" s="7"/>
      <c r="X216" s="7"/>
      <c r="Y216" s="7"/>
    </row>
    <row r="217" spans="1:25" ht="15.75" customHeight="1">
      <c r="A217" s="7"/>
      <c r="B217" s="7"/>
      <c r="C217" s="30"/>
      <c r="D217" s="30"/>
      <c r="E217" s="30"/>
      <c r="F217" s="30"/>
      <c r="G217" s="30"/>
      <c r="H217" s="30"/>
      <c r="I217" s="7"/>
      <c r="J217" s="7"/>
      <c r="K217" s="7"/>
      <c r="L217" s="7"/>
      <c r="M217" s="7"/>
      <c r="N217" s="7"/>
      <c r="O217" s="7"/>
      <c r="P217" s="7"/>
      <c r="Q217" s="7"/>
      <c r="R217" s="7"/>
      <c r="S217" s="7"/>
      <c r="T217" s="7"/>
      <c r="U217" s="7"/>
      <c r="V217" s="7"/>
      <c r="W217" s="7"/>
      <c r="X217" s="7"/>
      <c r="Y217" s="7"/>
    </row>
    <row r="218" spans="1:25" ht="15.75" customHeight="1">
      <c r="A218" s="7"/>
      <c r="B218" s="7"/>
      <c r="C218" s="30"/>
      <c r="D218" s="30"/>
      <c r="E218" s="30"/>
      <c r="F218" s="30"/>
      <c r="G218" s="30"/>
      <c r="H218" s="30"/>
      <c r="I218" s="7"/>
      <c r="J218" s="7"/>
      <c r="K218" s="7"/>
      <c r="L218" s="7"/>
      <c r="M218" s="7"/>
      <c r="N218" s="7"/>
      <c r="O218" s="7"/>
      <c r="P218" s="7"/>
      <c r="Q218" s="7"/>
      <c r="R218" s="7"/>
      <c r="S218" s="7"/>
      <c r="T218" s="7"/>
      <c r="U218" s="7"/>
      <c r="V218" s="7"/>
      <c r="W218" s="7"/>
      <c r="X218" s="7"/>
      <c r="Y218" s="7"/>
    </row>
    <row r="219" spans="1:25" ht="15.75" customHeight="1"/>
    <row r="220" spans="1:25" ht="15.75" customHeight="1"/>
    <row r="221" spans="1:25" ht="15.75" customHeight="1"/>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7">
    <mergeCell ref="B14:C18"/>
    <mergeCell ref="D2:H2"/>
    <mergeCell ref="I2:M2"/>
    <mergeCell ref="I8:M8"/>
    <mergeCell ref="O10:R10"/>
    <mergeCell ref="N5:Q8"/>
    <mergeCell ref="O14:R15"/>
  </mergeCells>
  <dataValidations count="1">
    <dataValidation type="list" allowBlank="1" showErrorMessage="1" sqref="N11" xr:uid="{00000000-0002-0000-0600-000000000000}">
      <formula1>"Option 1,Option 2,Option 3"</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Y1000"/>
  <sheetViews>
    <sheetView showGridLines="0" workbookViewId="0">
      <selection activeCell="H17" sqref="H17"/>
    </sheetView>
  </sheetViews>
  <sheetFormatPr defaultColWidth="10.1796875" defaultRowHeight="15" customHeight="1"/>
  <cols>
    <col min="1" max="1" width="2.453125" customWidth="1"/>
    <col min="2" max="2" width="38.453125" customWidth="1"/>
    <col min="6" max="6" width="10.54296875" bestFit="1" customWidth="1"/>
  </cols>
  <sheetData>
    <row r="1" spans="1:25" ht="15.6">
      <c r="A1" s="5" t="s">
        <v>349</v>
      </c>
      <c r="B1" s="7"/>
      <c r="C1" s="29"/>
      <c r="D1" s="30"/>
      <c r="E1" s="30"/>
      <c r="F1" s="30"/>
      <c r="G1" s="30"/>
      <c r="H1" s="30"/>
      <c r="I1" s="7"/>
      <c r="J1" s="7"/>
      <c r="K1" s="7"/>
      <c r="L1" s="7"/>
      <c r="M1" s="7"/>
      <c r="N1" s="7"/>
      <c r="O1" s="7"/>
      <c r="P1" s="7"/>
      <c r="Q1" s="7"/>
      <c r="R1" s="7"/>
      <c r="S1" s="7"/>
      <c r="T1" s="7"/>
      <c r="U1" s="7"/>
      <c r="V1" s="7"/>
      <c r="W1" s="7"/>
      <c r="X1" s="7"/>
      <c r="Y1" s="7"/>
    </row>
    <row r="2" spans="1:25" ht="15.6">
      <c r="A2" s="297"/>
      <c r="B2" s="298"/>
      <c r="C2" s="299"/>
      <c r="D2" s="637" t="s">
        <v>48</v>
      </c>
      <c r="E2" s="638"/>
      <c r="F2" s="638"/>
      <c r="G2" s="638"/>
      <c r="H2" s="639"/>
      <c r="I2" s="640" t="s">
        <v>49</v>
      </c>
      <c r="J2" s="638"/>
      <c r="K2" s="638"/>
      <c r="L2" s="638"/>
      <c r="M2" s="641"/>
      <c r="N2" s="7"/>
      <c r="O2" s="4"/>
      <c r="P2" s="4"/>
      <c r="Q2" s="4"/>
      <c r="R2" s="4"/>
      <c r="S2" s="4"/>
      <c r="T2" s="4"/>
      <c r="U2" s="4"/>
      <c r="V2" s="4"/>
      <c r="W2" s="4"/>
      <c r="X2" s="4"/>
      <c r="Y2" s="4"/>
    </row>
    <row r="3" spans="1:25" ht="15.6">
      <c r="A3" s="300" t="s">
        <v>350</v>
      </c>
      <c r="B3" s="301"/>
      <c r="C3" s="302" t="s">
        <v>51</v>
      </c>
      <c r="D3" s="303" t="s">
        <v>17</v>
      </c>
      <c r="E3" s="303" t="s">
        <v>18</v>
      </c>
      <c r="F3" s="303" t="s">
        <v>19</v>
      </c>
      <c r="G3" s="303" t="s">
        <v>20</v>
      </c>
      <c r="H3" s="303" t="s">
        <v>21</v>
      </c>
      <c r="I3" s="304" t="s">
        <v>22</v>
      </c>
      <c r="J3" s="305" t="s">
        <v>23</v>
      </c>
      <c r="K3" s="305" t="s">
        <v>24</v>
      </c>
      <c r="L3" s="305" t="s">
        <v>25</v>
      </c>
      <c r="M3" s="306" t="s">
        <v>26</v>
      </c>
      <c r="N3" s="307" t="s">
        <v>351</v>
      </c>
      <c r="O3" s="4"/>
      <c r="P3" s="4"/>
      <c r="Q3" s="4"/>
      <c r="R3" s="4"/>
      <c r="S3" s="4"/>
      <c r="T3" s="4"/>
      <c r="U3" s="4"/>
      <c r="V3" s="4"/>
      <c r="W3" s="4"/>
      <c r="X3" s="4"/>
      <c r="Y3" s="4"/>
    </row>
    <row r="4" spans="1:25" ht="15.6">
      <c r="A4" s="254"/>
      <c r="B4" s="308" t="s">
        <v>352</v>
      </c>
      <c r="C4" s="255" t="s">
        <v>53</v>
      </c>
      <c r="D4" s="309">
        <v>0</v>
      </c>
      <c r="E4" s="310">
        <f t="shared" ref="E4:M4" si="0">D7</f>
        <v>58620.303999999996</v>
      </c>
      <c r="F4" s="310">
        <f t="shared" si="0"/>
        <v>58785.211000000003</v>
      </c>
      <c r="G4" s="310">
        <f t="shared" si="0"/>
        <v>54985.68</v>
      </c>
      <c r="H4" s="310">
        <f t="shared" si="0"/>
        <v>51034.343000000001</v>
      </c>
      <c r="I4" s="311">
        <f t="shared" si="0"/>
        <v>42317.561999999998</v>
      </c>
      <c r="J4" s="310">
        <f t="shared" si="0"/>
        <v>13256.811999999998</v>
      </c>
      <c r="K4" s="310">
        <f t="shared" si="0"/>
        <v>7529.3953333333329</v>
      </c>
      <c r="L4" s="310">
        <f t="shared" si="0"/>
        <v>5963.978666666666</v>
      </c>
      <c r="M4" s="312">
        <f t="shared" si="0"/>
        <v>4398.561999999999</v>
      </c>
      <c r="N4" s="562"/>
      <c r="O4" s="562"/>
      <c r="P4" s="562"/>
      <c r="Q4" s="562"/>
      <c r="R4" s="562"/>
      <c r="S4" s="562"/>
      <c r="T4" s="562"/>
      <c r="U4" s="7"/>
      <c r="V4" s="7"/>
      <c r="W4" s="7"/>
      <c r="X4" s="7"/>
      <c r="Y4" s="7"/>
    </row>
    <row r="5" spans="1:25" ht="15.6">
      <c r="A5" s="44"/>
      <c r="B5" s="16" t="s">
        <v>353</v>
      </c>
      <c r="C5" s="29" t="s">
        <v>53</v>
      </c>
      <c r="D5" s="30">
        <v>0</v>
      </c>
      <c r="E5" s="103">
        <f t="shared" ref="E5:M5" si="1">(SUM(E4,E6)-E8)*-1</f>
        <v>2684.9070000000065</v>
      </c>
      <c r="F5" s="103">
        <f t="shared" si="1"/>
        <v>362.46899999999732</v>
      </c>
      <c r="G5" s="103">
        <f t="shared" si="1"/>
        <v>210.66300000000047</v>
      </c>
      <c r="H5" s="103">
        <f t="shared" si="1"/>
        <v>343.96899999999732</v>
      </c>
      <c r="I5" s="192">
        <f t="shared" si="1"/>
        <v>1.8189894035458565E-12</v>
      </c>
      <c r="J5" s="103">
        <f t="shared" si="1"/>
        <v>1.8189894035458565E-12</v>
      </c>
      <c r="K5" s="103">
        <f t="shared" si="1"/>
        <v>0</v>
      </c>
      <c r="L5" s="103">
        <f t="shared" si="1"/>
        <v>0</v>
      </c>
      <c r="M5" s="313">
        <f t="shared" si="1"/>
        <v>0</v>
      </c>
      <c r="N5" s="562"/>
      <c r="O5" s="562"/>
      <c r="P5" s="562"/>
      <c r="Q5" s="562"/>
      <c r="R5" s="562"/>
      <c r="S5" s="562"/>
      <c r="T5" s="562"/>
      <c r="U5" s="7"/>
      <c r="V5" s="7"/>
      <c r="W5" s="7"/>
      <c r="X5" s="7"/>
      <c r="Y5" s="7"/>
    </row>
    <row r="6" spans="1:25" ht="15.6">
      <c r="A6" s="44"/>
      <c r="B6" s="16" t="s">
        <v>354</v>
      </c>
      <c r="C6" s="29" t="s">
        <v>53</v>
      </c>
      <c r="D6" s="20">
        <f>'Cash Flow'!D47</f>
        <v>0</v>
      </c>
      <c r="E6" s="20">
        <f>'Cash Flow'!E47</f>
        <v>-2520</v>
      </c>
      <c r="F6" s="20">
        <f>'Cash Flow'!F47</f>
        <v>-4162</v>
      </c>
      <c r="G6" s="20">
        <f>'Cash Flow'!G47</f>
        <v>-4162</v>
      </c>
      <c r="H6" s="20">
        <f>'Cash Flow'!H47</f>
        <v>-9060.75</v>
      </c>
      <c r="I6" s="192">
        <f t="shared" ref="I6:M6" si="2">H14*-1</f>
        <v>-29060.75</v>
      </c>
      <c r="J6" s="103">
        <f t="shared" si="2"/>
        <v>-5727.416666666667</v>
      </c>
      <c r="K6" s="103">
        <f t="shared" si="2"/>
        <v>-1565.4166666666667</v>
      </c>
      <c r="L6" s="103">
        <f t="shared" si="2"/>
        <v>-1565.4166666666667</v>
      </c>
      <c r="M6" s="313">
        <f t="shared" si="2"/>
        <v>-1565.4166666666667</v>
      </c>
      <c r="N6" s="562"/>
      <c r="O6" s="562"/>
      <c r="P6" s="562"/>
      <c r="Q6" s="562"/>
      <c r="R6" s="562"/>
      <c r="S6" s="562"/>
      <c r="T6" s="562"/>
      <c r="U6" s="7"/>
      <c r="V6" s="7"/>
      <c r="W6" s="7"/>
      <c r="X6" s="7"/>
      <c r="Y6" s="7"/>
    </row>
    <row r="7" spans="1:25">
      <c r="A7" s="44"/>
      <c r="B7" s="14" t="s">
        <v>355</v>
      </c>
      <c r="C7" s="55" t="s">
        <v>53</v>
      </c>
      <c r="D7" s="57">
        <f>D14+D15</f>
        <v>58620.303999999996</v>
      </c>
      <c r="E7" s="57">
        <f>E4+E5+E6</f>
        <v>58785.211000000003</v>
      </c>
      <c r="F7" s="57">
        <f>SUM(F4:F6)</f>
        <v>54985.68</v>
      </c>
      <c r="G7" s="57">
        <f t="shared" ref="G7:H7" si="3">G4+G5+G6</f>
        <v>51034.343000000001</v>
      </c>
      <c r="H7" s="57">
        <f t="shared" si="3"/>
        <v>42317.561999999998</v>
      </c>
      <c r="I7" s="94">
        <f t="shared" ref="I7:M7" si="4">SUM(I4:I6)</f>
        <v>13256.811999999998</v>
      </c>
      <c r="J7" s="57">
        <f t="shared" si="4"/>
        <v>7529.3953333333329</v>
      </c>
      <c r="K7" s="57">
        <f t="shared" si="4"/>
        <v>5963.978666666666</v>
      </c>
      <c r="L7" s="57">
        <f t="shared" si="4"/>
        <v>4398.561999999999</v>
      </c>
      <c r="M7" s="95">
        <f t="shared" si="4"/>
        <v>2833.145333333332</v>
      </c>
      <c r="N7" s="562"/>
      <c r="O7" s="562"/>
      <c r="P7" s="562"/>
      <c r="Q7" s="562"/>
      <c r="R7" s="562"/>
      <c r="S7" s="562"/>
      <c r="T7" s="562"/>
      <c r="U7" s="7"/>
      <c r="V7" s="7"/>
      <c r="W7" s="7"/>
      <c r="X7" s="7"/>
      <c r="Y7" s="7"/>
    </row>
    <row r="8" spans="1:25">
      <c r="A8" s="44"/>
      <c r="B8" s="314" t="s">
        <v>356</v>
      </c>
      <c r="C8" s="315" t="s">
        <v>53</v>
      </c>
      <c r="D8" s="316">
        <f t="shared" ref="D8:M8" si="5">SUM(D14:D15)</f>
        <v>58620.303999999996</v>
      </c>
      <c r="E8" s="316">
        <f t="shared" si="5"/>
        <v>58785.211000000003</v>
      </c>
      <c r="F8" s="316">
        <f t="shared" si="5"/>
        <v>54985.68</v>
      </c>
      <c r="G8" s="316">
        <f t="shared" si="5"/>
        <v>51034.343000000001</v>
      </c>
      <c r="H8" s="316">
        <f t="shared" si="5"/>
        <v>42317.561999999998</v>
      </c>
      <c r="I8" s="316">
        <f t="shared" si="5"/>
        <v>13256.812</v>
      </c>
      <c r="J8" s="316">
        <f t="shared" si="5"/>
        <v>7529.3953333333329</v>
      </c>
      <c r="K8" s="316">
        <f t="shared" si="5"/>
        <v>5963.978666666666</v>
      </c>
      <c r="L8" s="316">
        <f t="shared" si="5"/>
        <v>4398.561999999999</v>
      </c>
      <c r="M8" s="317">
        <f t="shared" si="5"/>
        <v>2833.145333333332</v>
      </c>
      <c r="N8" s="562"/>
      <c r="O8" s="562"/>
      <c r="P8" s="562"/>
      <c r="Q8" s="562"/>
      <c r="R8" s="562"/>
      <c r="S8" s="562"/>
      <c r="T8" s="562"/>
      <c r="U8" s="7"/>
      <c r="V8" s="7"/>
      <c r="W8" s="7"/>
      <c r="X8" s="7"/>
      <c r="Y8" s="7"/>
    </row>
    <row r="9" spans="1:25">
      <c r="A9" s="44"/>
      <c r="B9" s="318" t="s">
        <v>357</v>
      </c>
      <c r="C9" s="319"/>
      <c r="D9" s="320"/>
      <c r="E9" s="320"/>
      <c r="F9" s="320"/>
      <c r="G9" s="320">
        <v>12486</v>
      </c>
      <c r="H9" s="320">
        <v>8324</v>
      </c>
      <c r="I9" s="321">
        <f t="shared" ref="I9:J9" si="6">H9-H10</f>
        <v>4162</v>
      </c>
      <c r="J9" s="320">
        <f t="shared" si="6"/>
        <v>0</v>
      </c>
      <c r="K9" s="320"/>
      <c r="L9" s="320"/>
      <c r="M9" s="322"/>
      <c r="N9" s="562"/>
      <c r="O9" s="562"/>
      <c r="P9" s="562"/>
      <c r="Q9" s="562"/>
      <c r="R9" s="562"/>
      <c r="S9" s="562"/>
      <c r="T9" s="562"/>
      <c r="U9" s="7"/>
      <c r="V9" s="7"/>
      <c r="W9" s="7"/>
      <c r="X9" s="7"/>
      <c r="Y9" s="7"/>
    </row>
    <row r="10" spans="1:25">
      <c r="A10" s="44"/>
      <c r="B10" s="323" t="s">
        <v>358</v>
      </c>
      <c r="C10" s="276"/>
      <c r="D10" s="324"/>
      <c r="E10" s="324"/>
      <c r="F10" s="324"/>
      <c r="G10" s="324"/>
      <c r="H10" s="325">
        <f>G9-H9</f>
        <v>4162</v>
      </c>
      <c r="I10" s="326">
        <f>H10</f>
        <v>4162</v>
      </c>
      <c r="J10" s="327">
        <v>0</v>
      </c>
      <c r="K10" s="324"/>
      <c r="L10" s="324"/>
      <c r="M10" s="328"/>
      <c r="N10" s="562"/>
      <c r="O10" s="562"/>
      <c r="P10" s="562"/>
      <c r="Q10" s="562"/>
      <c r="R10" s="562"/>
      <c r="S10" s="562"/>
      <c r="T10" s="562"/>
      <c r="U10" s="7"/>
      <c r="V10" s="7"/>
      <c r="W10" s="7"/>
      <c r="X10" s="7"/>
      <c r="Y10" s="7"/>
    </row>
    <row r="11" spans="1:25">
      <c r="A11" s="44"/>
      <c r="B11" s="323" t="s">
        <v>359</v>
      </c>
      <c r="C11" s="276"/>
      <c r="D11" s="324"/>
      <c r="E11" s="324"/>
      <c r="F11" s="324"/>
      <c r="G11" s="324">
        <v>39190</v>
      </c>
      <c r="H11" s="324">
        <v>34291.25</v>
      </c>
      <c r="I11" s="329">
        <f t="shared" ref="I11:M11" si="7">H11-H12-H13</f>
        <v>9392.5</v>
      </c>
      <c r="J11" s="324">
        <f t="shared" si="7"/>
        <v>7827.083333333333</v>
      </c>
      <c r="K11" s="324">
        <f t="shared" si="7"/>
        <v>6261.6666666666661</v>
      </c>
      <c r="L11" s="324">
        <f t="shared" si="7"/>
        <v>4696.2499999999991</v>
      </c>
      <c r="M11" s="328">
        <f t="shared" si="7"/>
        <v>3130.8333333333321</v>
      </c>
      <c r="N11" s="562"/>
      <c r="O11" s="562"/>
      <c r="P11" s="562"/>
      <c r="Q11" s="562"/>
      <c r="R11" s="562"/>
      <c r="S11" s="562"/>
      <c r="T11" s="562"/>
      <c r="U11" s="7"/>
      <c r="V11" s="7"/>
      <c r="W11" s="7"/>
      <c r="X11" s="7"/>
      <c r="Y11" s="7"/>
    </row>
    <row r="12" spans="1:25" ht="15" customHeight="1">
      <c r="A12" s="44"/>
      <c r="B12" s="323" t="s">
        <v>360</v>
      </c>
      <c r="C12" s="276"/>
      <c r="D12" s="324"/>
      <c r="E12" s="324"/>
      <c r="F12" s="324"/>
      <c r="G12" s="324"/>
      <c r="H12" s="325">
        <f>G11-H11</f>
        <v>4898.75</v>
      </c>
      <c r="I12" s="326">
        <f>I11/6</f>
        <v>1565.4166666666667</v>
      </c>
      <c r="J12" s="327">
        <f t="shared" ref="J12:M12" si="8">I12</f>
        <v>1565.4166666666667</v>
      </c>
      <c r="K12" s="327">
        <f t="shared" si="8"/>
        <v>1565.4166666666667</v>
      </c>
      <c r="L12" s="327">
        <f t="shared" si="8"/>
        <v>1565.4166666666667</v>
      </c>
      <c r="M12" s="330">
        <f t="shared" si="8"/>
        <v>1565.4166666666667</v>
      </c>
      <c r="N12" s="642" t="s">
        <v>361</v>
      </c>
      <c r="O12" s="645"/>
      <c r="P12" s="645"/>
      <c r="Q12" s="645"/>
      <c r="R12" s="645"/>
      <c r="S12" s="645"/>
      <c r="T12" s="645"/>
      <c r="U12" s="7"/>
      <c r="V12" s="7"/>
      <c r="W12" s="7"/>
      <c r="X12" s="7"/>
      <c r="Y12" s="7"/>
    </row>
    <row r="13" spans="1:25">
      <c r="A13" s="44"/>
      <c r="B13" s="331" t="s">
        <v>362</v>
      </c>
      <c r="C13" s="332"/>
      <c r="D13" s="333"/>
      <c r="E13" s="333"/>
      <c r="F13" s="333"/>
      <c r="G13" s="333"/>
      <c r="H13" s="334">
        <v>20000</v>
      </c>
      <c r="I13" s="335"/>
      <c r="J13" s="324"/>
      <c r="K13" s="324"/>
      <c r="L13" s="324"/>
      <c r="M13" s="336"/>
      <c r="N13" s="645"/>
      <c r="O13" s="645"/>
      <c r="P13" s="645"/>
      <c r="Q13" s="645"/>
      <c r="R13" s="645"/>
      <c r="S13" s="645"/>
      <c r="T13" s="645"/>
      <c r="U13" s="7"/>
      <c r="V13" s="7"/>
      <c r="W13" s="7"/>
      <c r="X13" s="7"/>
      <c r="Y13" s="7"/>
    </row>
    <row r="14" spans="1:25" ht="15.6">
      <c r="A14" s="44"/>
      <c r="B14" s="7" t="s">
        <v>254</v>
      </c>
      <c r="C14" s="29" t="s">
        <v>53</v>
      </c>
      <c r="D14" s="20">
        <f>'Balance Sheet'!D32</f>
        <v>0</v>
      </c>
      <c r="E14" s="20">
        <f>'Balance Sheet'!E32</f>
        <v>4162</v>
      </c>
      <c r="F14" s="20">
        <f>'Balance Sheet'!F32</f>
        <v>4162</v>
      </c>
      <c r="G14" s="20">
        <f>'Balance Sheet'!G32</f>
        <v>9060.75</v>
      </c>
      <c r="H14" s="20">
        <f>'Balance Sheet'!H32</f>
        <v>29060.75</v>
      </c>
      <c r="I14" s="192">
        <f t="shared" ref="I14:M14" si="9">I10+I12</f>
        <v>5727.416666666667</v>
      </c>
      <c r="J14" s="337">
        <f t="shared" si="9"/>
        <v>1565.4166666666667</v>
      </c>
      <c r="K14" s="337">
        <f t="shared" si="9"/>
        <v>1565.4166666666667</v>
      </c>
      <c r="L14" s="337">
        <f t="shared" si="9"/>
        <v>1565.4166666666667</v>
      </c>
      <c r="M14" s="313">
        <f t="shared" si="9"/>
        <v>1565.4166666666667</v>
      </c>
      <c r="N14" s="562"/>
      <c r="O14" s="562"/>
      <c r="P14" s="562"/>
      <c r="Q14" s="562"/>
      <c r="R14" s="562"/>
      <c r="S14" s="562"/>
      <c r="T14" s="562"/>
      <c r="U14" s="7"/>
      <c r="V14" s="7"/>
      <c r="W14" s="7"/>
      <c r="X14" s="7"/>
      <c r="Y14" s="7"/>
    </row>
    <row r="15" spans="1:25" ht="15.6">
      <c r="A15" s="44"/>
      <c r="B15" s="7" t="s">
        <v>363</v>
      </c>
      <c r="C15" s="29" t="s">
        <v>53</v>
      </c>
      <c r="D15" s="20">
        <f>'Balance Sheet'!D41</f>
        <v>58620.303999999996</v>
      </c>
      <c r="E15" s="20">
        <f>'Balance Sheet'!E41</f>
        <v>54623.211000000003</v>
      </c>
      <c r="F15" s="20">
        <f>'Balance Sheet'!F41</f>
        <v>50823.68</v>
      </c>
      <c r="G15" s="20">
        <f>'Balance Sheet'!G41</f>
        <v>41973.593000000001</v>
      </c>
      <c r="H15" s="20">
        <f>'Balance Sheet'!H41</f>
        <v>13256.812</v>
      </c>
      <c r="I15" s="192">
        <f t="shared" ref="I15:M15" si="10">H15-I14</f>
        <v>7529.3953333333329</v>
      </c>
      <c r="J15" s="103">
        <f t="shared" si="10"/>
        <v>5963.978666666666</v>
      </c>
      <c r="K15" s="103">
        <f t="shared" si="10"/>
        <v>4398.561999999999</v>
      </c>
      <c r="L15" s="103">
        <f t="shared" si="10"/>
        <v>2833.145333333332</v>
      </c>
      <c r="M15" s="313">
        <f t="shared" si="10"/>
        <v>1267.7286666666653</v>
      </c>
      <c r="N15" s="562"/>
      <c r="O15" s="562"/>
      <c r="P15" s="562"/>
      <c r="Q15" s="562"/>
      <c r="R15" s="562"/>
      <c r="S15" s="562"/>
      <c r="T15" s="562"/>
      <c r="U15" s="7"/>
      <c r="V15" s="7"/>
      <c r="W15" s="7"/>
      <c r="X15" s="7"/>
      <c r="Y15" s="7"/>
    </row>
    <row r="16" spans="1:25" ht="15.6">
      <c r="A16" s="44"/>
      <c r="B16" s="7" t="s">
        <v>364</v>
      </c>
      <c r="C16" s="29"/>
      <c r="D16" s="20">
        <v>0</v>
      </c>
      <c r="E16" s="20">
        <f t="shared" ref="E16:M16" si="11">(E4+E7)/2</f>
        <v>58702.7575</v>
      </c>
      <c r="F16" s="20">
        <f t="shared" si="11"/>
        <v>56885.445500000002</v>
      </c>
      <c r="G16" s="20">
        <f t="shared" si="11"/>
        <v>53010.011500000001</v>
      </c>
      <c r="H16" s="20">
        <f t="shared" si="11"/>
        <v>46675.952499999999</v>
      </c>
      <c r="I16" s="192">
        <f t="shared" si="11"/>
        <v>27787.186999999998</v>
      </c>
      <c r="J16" s="103">
        <f t="shared" si="11"/>
        <v>10393.103666666666</v>
      </c>
      <c r="K16" s="103">
        <f t="shared" si="11"/>
        <v>6746.6869999999999</v>
      </c>
      <c r="L16" s="103">
        <f t="shared" si="11"/>
        <v>5181.270333333332</v>
      </c>
      <c r="M16" s="313">
        <f t="shared" si="11"/>
        <v>3615.8536666666655</v>
      </c>
      <c r="N16" s="562"/>
      <c r="O16" s="562"/>
      <c r="P16" s="562"/>
      <c r="Q16" s="562"/>
      <c r="R16" s="562"/>
      <c r="S16" s="562"/>
      <c r="T16" s="562"/>
      <c r="U16" s="7"/>
      <c r="V16" s="7"/>
      <c r="W16" s="7"/>
      <c r="X16" s="7"/>
      <c r="Y16" s="7"/>
    </row>
    <row r="17" spans="1:25">
      <c r="A17" s="112"/>
      <c r="B17" s="14" t="s">
        <v>365</v>
      </c>
      <c r="C17" s="4"/>
      <c r="D17" s="57">
        <v>0</v>
      </c>
      <c r="E17" s="57">
        <f>E16*'Income Assumptions'!G98</f>
        <v>5474.8851973451119</v>
      </c>
      <c r="F17" s="57">
        <f>F16*'Income Assumptions'!H98</f>
        <v>5690.5590540170342</v>
      </c>
      <c r="G17" s="57">
        <f>G16*'Income Assumptions'!I98</f>
        <v>4649.191826133364</v>
      </c>
      <c r="H17" s="57">
        <f>H16*'Income Assumptions'!J98</f>
        <v>4258.0383469408598</v>
      </c>
      <c r="I17" s="124">
        <f>I16*$D$20</f>
        <v>2686.7490694726307</v>
      </c>
      <c r="J17" s="56">
        <f t="shared" ref="I17:M17" si="12">J16*$D$20</f>
        <v>1004.9114221367298</v>
      </c>
      <c r="K17" s="56">
        <f t="shared" si="12"/>
        <v>652.33861273086382</v>
      </c>
      <c r="L17" s="56">
        <f t="shared" si="12"/>
        <v>500.97813955653294</v>
      </c>
      <c r="M17" s="338">
        <f t="shared" si="12"/>
        <v>349.61766638220212</v>
      </c>
      <c r="N17" s="562"/>
      <c r="O17" s="563"/>
      <c r="P17" s="563"/>
      <c r="Q17" s="563"/>
      <c r="R17" s="563"/>
      <c r="S17" s="563"/>
      <c r="T17" s="563"/>
    </row>
    <row r="18" spans="1:25">
      <c r="A18" s="112"/>
      <c r="B18" s="4"/>
      <c r="C18" s="4"/>
      <c r="D18" s="4"/>
      <c r="E18" s="64"/>
      <c r="F18" s="4"/>
      <c r="G18" s="4"/>
      <c r="H18" s="4"/>
      <c r="I18" s="4"/>
      <c r="J18" s="4"/>
      <c r="K18" s="4"/>
      <c r="L18" s="4"/>
      <c r="M18" s="339"/>
      <c r="N18" s="562"/>
      <c r="O18" s="563"/>
      <c r="P18" s="563"/>
      <c r="Q18" s="563"/>
      <c r="R18" s="563"/>
      <c r="S18" s="563"/>
      <c r="T18" s="563"/>
    </row>
    <row r="19" spans="1:25">
      <c r="A19" s="112"/>
      <c r="B19" s="4"/>
      <c r="C19" s="4"/>
      <c r="D19" s="4"/>
      <c r="E19" s="64" t="s">
        <v>351</v>
      </c>
      <c r="F19" s="4"/>
      <c r="G19" s="4"/>
      <c r="H19" s="4"/>
      <c r="I19" s="4"/>
      <c r="J19" s="4"/>
      <c r="K19" s="4"/>
      <c r="L19" s="4"/>
      <c r="M19" s="339"/>
      <c r="N19" s="562"/>
      <c r="O19" s="563"/>
      <c r="P19" s="563"/>
      <c r="Q19" s="563"/>
      <c r="R19" s="563"/>
      <c r="S19" s="563"/>
      <c r="T19" s="563"/>
    </row>
    <row r="20" spans="1:25" ht="15.6">
      <c r="A20" s="44"/>
      <c r="B20" s="14" t="s">
        <v>366</v>
      </c>
      <c r="C20" s="29"/>
      <c r="D20" s="430">
        <f>D23/AVERAGE(H16,H7)</f>
        <v>9.6690214431299965E-2</v>
      </c>
      <c r="E20" s="706"/>
      <c r="F20" s="705"/>
      <c r="G20" s="61"/>
      <c r="H20" s="61"/>
      <c r="I20" s="61"/>
      <c r="J20" s="61"/>
      <c r="K20" s="61"/>
      <c r="L20" s="61"/>
      <c r="M20" s="340"/>
      <c r="N20" s="562"/>
      <c r="O20" s="562"/>
      <c r="P20" s="562"/>
      <c r="Q20" s="562"/>
      <c r="R20" s="562"/>
      <c r="S20" s="562"/>
      <c r="T20" s="562"/>
      <c r="U20" s="7"/>
      <c r="V20" s="7"/>
      <c r="W20" s="7"/>
      <c r="X20" s="7"/>
      <c r="Y20" s="7"/>
    </row>
    <row r="21" spans="1:25">
      <c r="A21" s="112"/>
      <c r="B21" s="16" t="s">
        <v>367</v>
      </c>
      <c r="C21" s="4"/>
      <c r="D21" s="20">
        <f>'Income Statement'!H36*-1</f>
        <v>8861.4850000000006</v>
      </c>
      <c r="E21" s="4"/>
      <c r="F21" s="4"/>
      <c r="G21" s="4"/>
      <c r="H21" s="4"/>
      <c r="I21" s="4"/>
      <c r="J21" s="4"/>
      <c r="K21" s="4"/>
      <c r="L21" s="4"/>
      <c r="M21" s="339"/>
      <c r="N21" s="562"/>
      <c r="O21" s="563"/>
      <c r="P21" s="563"/>
      <c r="Q21" s="563"/>
      <c r="R21" s="563"/>
      <c r="S21" s="563"/>
      <c r="T21" s="563"/>
    </row>
    <row r="22" spans="1:25" ht="15.75" customHeight="1">
      <c r="A22" s="44"/>
      <c r="B22" s="16" t="s">
        <v>368</v>
      </c>
      <c r="C22" s="30"/>
      <c r="D22" s="114">
        <v>4559.0839999999998</v>
      </c>
      <c r="E22" s="29" t="s">
        <v>369</v>
      </c>
      <c r="F22" s="30"/>
      <c r="G22" s="30"/>
      <c r="H22" s="8"/>
      <c r="I22" s="7"/>
      <c r="J22" s="7"/>
      <c r="K22" s="7"/>
      <c r="L22" s="7"/>
      <c r="M22" s="341"/>
      <c r="N22" s="562"/>
      <c r="O22" s="562"/>
      <c r="P22" s="562"/>
      <c r="Q22" s="562"/>
      <c r="R22" s="562"/>
      <c r="S22" s="562"/>
      <c r="T22" s="562"/>
      <c r="U22" s="7"/>
      <c r="V22" s="7"/>
      <c r="W22" s="7"/>
      <c r="X22" s="7"/>
      <c r="Y22" s="7"/>
    </row>
    <row r="23" spans="1:25" ht="15.75" customHeight="1">
      <c r="A23" s="44"/>
      <c r="B23" s="278" t="s">
        <v>370</v>
      </c>
      <c r="C23" s="64"/>
      <c r="D23" s="57">
        <f>D21-D22</f>
        <v>4302.4010000000007</v>
      </c>
      <c r="E23" s="342"/>
      <c r="F23" s="30"/>
      <c r="G23" s="30"/>
      <c r="H23" s="343"/>
      <c r="I23" s="7"/>
      <c r="J23" s="7"/>
      <c r="K23" s="7"/>
      <c r="L23" s="7"/>
      <c r="M23" s="341"/>
      <c r="N23" s="562"/>
      <c r="O23" s="562"/>
      <c r="P23" s="562"/>
      <c r="Q23" s="562"/>
      <c r="R23" s="562"/>
      <c r="S23" s="562"/>
      <c r="T23" s="562"/>
      <c r="U23" s="7"/>
      <c r="V23" s="7"/>
      <c r="W23" s="7"/>
      <c r="X23" s="7"/>
      <c r="Y23" s="7"/>
    </row>
    <row r="24" spans="1:25" ht="15.75" customHeight="1">
      <c r="A24" s="262"/>
      <c r="B24" s="344" t="s">
        <v>371</v>
      </c>
      <c r="C24" s="345"/>
      <c r="D24" s="47">
        <f>H4</f>
        <v>51034.343000000001</v>
      </c>
      <c r="E24" s="346"/>
      <c r="F24" s="98"/>
      <c r="G24" s="98"/>
      <c r="H24" s="98"/>
      <c r="I24" s="237"/>
      <c r="J24" s="237"/>
      <c r="K24" s="237"/>
      <c r="L24" s="237"/>
      <c r="M24" s="291"/>
      <c r="N24" s="562"/>
      <c r="O24" s="562"/>
      <c r="P24" s="562"/>
      <c r="Q24" s="562"/>
      <c r="R24" s="562"/>
      <c r="S24" s="562"/>
      <c r="T24" s="562"/>
      <c r="U24" s="7"/>
      <c r="V24" s="7"/>
      <c r="W24" s="7"/>
      <c r="X24" s="7"/>
      <c r="Y24" s="7"/>
    </row>
    <row r="25" spans="1:25" ht="15.75" customHeight="1">
      <c r="A25" s="7"/>
      <c r="B25" s="278"/>
      <c r="C25" s="64"/>
      <c r="D25" s="64"/>
      <c r="E25" s="30"/>
      <c r="F25" s="30"/>
      <c r="G25" s="30"/>
      <c r="H25" s="30"/>
      <c r="I25" s="7"/>
      <c r="J25" s="7"/>
      <c r="K25" s="7"/>
      <c r="L25" s="7"/>
      <c r="M25" s="7"/>
      <c r="N25" s="7"/>
      <c r="O25" s="7"/>
      <c r="P25" s="7"/>
      <c r="Q25" s="7"/>
      <c r="R25" s="7"/>
      <c r="S25" s="7"/>
      <c r="T25" s="7"/>
      <c r="U25" s="7"/>
      <c r="V25" s="7"/>
      <c r="W25" s="7"/>
      <c r="X25" s="7"/>
      <c r="Y25" s="7"/>
    </row>
    <row r="26" spans="1:25" ht="15.75" customHeight="1">
      <c r="A26" s="297"/>
      <c r="B26" s="298"/>
      <c r="C26" s="299"/>
      <c r="D26" s="637" t="s">
        <v>48</v>
      </c>
      <c r="E26" s="638"/>
      <c r="F26" s="638"/>
      <c r="G26" s="638"/>
      <c r="H26" s="639"/>
      <c r="I26" s="640" t="s">
        <v>49</v>
      </c>
      <c r="J26" s="638"/>
      <c r="K26" s="638"/>
      <c r="L26" s="638"/>
      <c r="M26" s="641"/>
      <c r="N26" s="7"/>
      <c r="O26" s="7"/>
      <c r="P26" s="7"/>
      <c r="Q26" s="7"/>
      <c r="R26" s="7"/>
      <c r="S26" s="7"/>
      <c r="T26" s="7"/>
      <c r="U26" s="7"/>
      <c r="V26" s="7"/>
      <c r="W26" s="7"/>
      <c r="X26" s="7"/>
      <c r="Y26" s="7"/>
    </row>
    <row r="27" spans="1:25" ht="15.75" customHeight="1">
      <c r="A27" s="347" t="s">
        <v>372</v>
      </c>
      <c r="B27" s="348"/>
      <c r="C27" s="349" t="s">
        <v>51</v>
      </c>
      <c r="D27" s="350" t="s">
        <v>17</v>
      </c>
      <c r="E27" s="350" t="s">
        <v>18</v>
      </c>
      <c r="F27" s="350" t="s">
        <v>19</v>
      </c>
      <c r="G27" s="350" t="s">
        <v>20</v>
      </c>
      <c r="H27" s="350" t="s">
        <v>21</v>
      </c>
      <c r="I27" s="351" t="s">
        <v>22</v>
      </c>
      <c r="J27" s="305" t="s">
        <v>23</v>
      </c>
      <c r="K27" s="305" t="s">
        <v>24</v>
      </c>
      <c r="L27" s="305" t="s">
        <v>25</v>
      </c>
      <c r="M27" s="306" t="s">
        <v>26</v>
      </c>
      <c r="N27" s="307" t="s">
        <v>351</v>
      </c>
      <c r="O27" s="7"/>
      <c r="P27" s="7"/>
      <c r="Q27" s="7"/>
      <c r="R27" s="7"/>
      <c r="S27" s="7"/>
      <c r="T27" s="7"/>
      <c r="U27" s="7"/>
      <c r="V27" s="7"/>
      <c r="W27" s="7"/>
      <c r="X27" s="7"/>
      <c r="Y27" s="7"/>
    </row>
    <row r="28" spans="1:25" ht="15.75" customHeight="1">
      <c r="A28" s="44"/>
      <c r="B28" s="14" t="s">
        <v>373</v>
      </c>
      <c r="C28" s="55" t="s">
        <v>53</v>
      </c>
      <c r="D28" s="20">
        <v>0</v>
      </c>
      <c r="E28" s="20">
        <f t="shared" ref="E28:M28" si="13">D30</f>
        <v>273314.658</v>
      </c>
      <c r="F28" s="20">
        <f t="shared" si="13"/>
        <v>317903.61000000004</v>
      </c>
      <c r="G28" s="20">
        <f t="shared" si="13"/>
        <v>285125.45699999999</v>
      </c>
      <c r="H28" s="20">
        <f t="shared" si="13"/>
        <v>271311.34100000001</v>
      </c>
      <c r="I28" s="122">
        <f t="shared" si="13"/>
        <v>334588.90000000002</v>
      </c>
      <c r="J28" s="20">
        <f t="shared" si="13"/>
        <v>325210.70105661266</v>
      </c>
      <c r="K28" s="20">
        <f t="shared" si="13"/>
        <v>313866.37252838857</v>
      </c>
      <c r="L28" s="20">
        <f t="shared" si="13"/>
        <v>290726.32598661917</v>
      </c>
      <c r="M28" s="148">
        <f t="shared" si="13"/>
        <v>266221.31475592119</v>
      </c>
      <c r="N28" s="642" t="s">
        <v>374</v>
      </c>
      <c r="O28" s="643"/>
      <c r="P28" s="643"/>
      <c r="Q28" s="643"/>
      <c r="R28" s="643"/>
      <c r="S28" s="643"/>
      <c r="T28" s="643"/>
      <c r="U28" s="643"/>
      <c r="V28" s="643"/>
      <c r="W28" s="7"/>
      <c r="X28" s="7"/>
      <c r="Y28" s="7"/>
    </row>
    <row r="29" spans="1:25" ht="15" customHeight="1">
      <c r="A29" s="44"/>
      <c r="B29" s="16" t="s">
        <v>375</v>
      </c>
      <c r="C29" s="29" t="s">
        <v>53</v>
      </c>
      <c r="D29" s="20">
        <f>'Cash Flow'!D54</f>
        <v>-37235.338000000003</v>
      </c>
      <c r="E29" s="20">
        <f>'Cash Flow'!E54</f>
        <v>0</v>
      </c>
      <c r="F29" s="20">
        <f>'Cash Flow'!F54</f>
        <v>-31027</v>
      </c>
      <c r="G29" s="20">
        <f>'Cash Flow'!G54</f>
        <v>-14000</v>
      </c>
      <c r="H29" s="20">
        <f>'Cash Flow'!H54</f>
        <v>0</v>
      </c>
      <c r="I29" s="192">
        <f>SUM(-H32,'Cash Flow'!I57)</f>
        <v>-9378.1989433873841</v>
      </c>
      <c r="J29" s="103">
        <f>SUM(-I32,'Cash Flow'!J57)</f>
        <v>-11344.328528224061</v>
      </c>
      <c r="K29" s="103">
        <f>SUM(-J32,'Cash Flow'!K57)</f>
        <v>-23140.046541769414</v>
      </c>
      <c r="L29" s="103">
        <f>SUM(-K32,'Cash Flow'!L57)</f>
        <v>-24505.011230697964</v>
      </c>
      <c r="M29" s="313">
        <f>SUM(-L32,'Cash Flow'!M57)</f>
        <v>-31276.378134447266</v>
      </c>
      <c r="N29" s="643"/>
      <c r="O29" s="643"/>
      <c r="P29" s="643"/>
      <c r="Q29" s="643"/>
      <c r="R29" s="643"/>
      <c r="S29" s="643"/>
      <c r="T29" s="643"/>
      <c r="U29" s="643"/>
      <c r="V29" s="643"/>
      <c r="W29" s="7"/>
      <c r="X29" s="7"/>
      <c r="Y29" s="7"/>
    </row>
    <row r="30" spans="1:25" ht="15" customHeight="1">
      <c r="A30" s="44"/>
      <c r="B30" s="45" t="s">
        <v>376</v>
      </c>
      <c r="C30" s="46" t="s">
        <v>53</v>
      </c>
      <c r="D30" s="47">
        <f t="shared" ref="D30:H30" si="14">D32+D33</f>
        <v>273314.658</v>
      </c>
      <c r="E30" s="47">
        <f t="shared" si="14"/>
        <v>317903.61000000004</v>
      </c>
      <c r="F30" s="47">
        <f t="shared" si="14"/>
        <v>285125.45699999999</v>
      </c>
      <c r="G30" s="47">
        <f t="shared" si="14"/>
        <v>271311.34100000001</v>
      </c>
      <c r="H30" s="47">
        <f t="shared" si="14"/>
        <v>334588.90000000002</v>
      </c>
      <c r="I30" s="48">
        <f t="shared" ref="I30:M30" si="15">SUM(I28:I29)</f>
        <v>325210.70105661266</v>
      </c>
      <c r="J30" s="47">
        <f t="shared" si="15"/>
        <v>313866.37252838857</v>
      </c>
      <c r="K30" s="47">
        <f t="shared" si="15"/>
        <v>290726.32598661917</v>
      </c>
      <c r="L30" s="47">
        <f t="shared" si="15"/>
        <v>266221.31475592119</v>
      </c>
      <c r="M30" s="99">
        <f t="shared" si="15"/>
        <v>234944.93662147393</v>
      </c>
      <c r="N30" s="643"/>
      <c r="O30" s="643"/>
      <c r="P30" s="643"/>
      <c r="Q30" s="643"/>
      <c r="R30" s="643"/>
      <c r="S30" s="643"/>
      <c r="T30" s="643"/>
      <c r="U30" s="643"/>
      <c r="V30" s="643"/>
      <c r="W30" s="7"/>
      <c r="X30" s="7"/>
      <c r="Y30" s="7"/>
    </row>
    <row r="31" spans="1:25" ht="15.75" customHeight="1">
      <c r="A31" s="44"/>
      <c r="B31" s="237"/>
      <c r="C31" s="217"/>
      <c r="D31" s="158"/>
      <c r="E31" s="158"/>
      <c r="F31" s="158"/>
      <c r="G31" s="158"/>
      <c r="H31" s="158"/>
      <c r="I31" s="246"/>
      <c r="J31" s="247"/>
      <c r="K31" s="247"/>
      <c r="L31" s="247"/>
      <c r="M31" s="352"/>
      <c r="N31" s="467"/>
      <c r="O31" s="467"/>
      <c r="P31" s="467"/>
      <c r="Q31" s="467"/>
      <c r="R31" s="467"/>
      <c r="S31" s="467"/>
      <c r="T31" s="467"/>
      <c r="U31" s="467"/>
      <c r="V31" s="467"/>
      <c r="W31" s="7"/>
      <c r="X31" s="7"/>
      <c r="Y31" s="7"/>
    </row>
    <row r="32" spans="1:25" ht="15.75" customHeight="1">
      <c r="A32" s="44"/>
      <c r="B32" s="7" t="s">
        <v>256</v>
      </c>
      <c r="C32" s="29" t="s">
        <v>53</v>
      </c>
      <c r="D32" s="20">
        <f>'Balance Sheet'!D34</f>
        <v>9271.6110000000008</v>
      </c>
      <c r="E32" s="20">
        <f>'Balance Sheet'!E34</f>
        <v>9463.9599999999991</v>
      </c>
      <c r="F32" s="20">
        <f>'Balance Sheet'!F34</f>
        <v>14935.89</v>
      </c>
      <c r="G32" s="20">
        <f>'Balance Sheet'!G34</f>
        <v>14748.713</v>
      </c>
      <c r="H32" s="20">
        <f>'Balance Sheet'!H34</f>
        <v>1604.384</v>
      </c>
      <c r="I32" s="192">
        <v>0</v>
      </c>
      <c r="J32" s="103">
        <v>0</v>
      </c>
      <c r="K32" s="103">
        <v>0</v>
      </c>
      <c r="L32" s="103">
        <v>0</v>
      </c>
      <c r="M32" s="313">
        <f>120000/5</f>
        <v>24000</v>
      </c>
      <c r="N32" s="644" t="s">
        <v>377</v>
      </c>
      <c r="O32" s="643"/>
      <c r="P32" s="643"/>
      <c r="Q32" s="467"/>
      <c r="R32" s="467"/>
      <c r="S32" s="467"/>
      <c r="T32" s="467"/>
      <c r="U32" s="467"/>
      <c r="V32" s="467"/>
      <c r="W32" s="7"/>
      <c r="X32" s="7"/>
      <c r="Y32" s="7"/>
    </row>
    <row r="33" spans="1:25" ht="15.75" customHeight="1">
      <c r="A33" s="44"/>
      <c r="B33" s="7" t="s">
        <v>262</v>
      </c>
      <c r="C33" s="29" t="s">
        <v>53</v>
      </c>
      <c r="D33" s="20">
        <f>'Balance Sheet'!D43</f>
        <v>264043.04700000002</v>
      </c>
      <c r="E33" s="20">
        <f>'Balance Sheet'!E43</f>
        <v>308439.65000000002</v>
      </c>
      <c r="F33" s="20">
        <f>'Balance Sheet'!F43</f>
        <v>270189.56699999998</v>
      </c>
      <c r="G33" s="20">
        <f>'Balance Sheet'!G43</f>
        <v>256562.628</v>
      </c>
      <c r="H33" s="20">
        <f>'Balance Sheet'!H43</f>
        <v>332984.516</v>
      </c>
      <c r="I33" s="246">
        <f t="shared" ref="I33:L33" si="16">I30</f>
        <v>325210.70105661266</v>
      </c>
      <c r="J33" s="247">
        <f t="shared" si="16"/>
        <v>313866.37252838857</v>
      </c>
      <c r="K33" s="247">
        <f t="shared" si="16"/>
        <v>290726.32598661917</v>
      </c>
      <c r="L33" s="247">
        <f t="shared" si="16"/>
        <v>266221.31475592119</v>
      </c>
      <c r="M33" s="352">
        <f>M30-M32</f>
        <v>210944.93662147393</v>
      </c>
      <c r="N33" s="643"/>
      <c r="O33" s="643"/>
      <c r="P33" s="643"/>
      <c r="Q33" s="467"/>
      <c r="R33" s="467"/>
      <c r="S33" s="467"/>
      <c r="T33" s="467"/>
      <c r="U33" s="467"/>
      <c r="V33" s="467"/>
      <c r="W33" s="7"/>
      <c r="X33" s="7"/>
      <c r="Y33" s="7"/>
    </row>
    <row r="34" spans="1:25" ht="15.75" customHeight="1">
      <c r="A34" s="112"/>
      <c r="B34" s="288"/>
      <c r="C34" s="353"/>
      <c r="D34" s="354"/>
      <c r="E34" s="354"/>
      <c r="F34" s="354"/>
      <c r="G34" s="354"/>
      <c r="H34" s="354"/>
      <c r="I34" s="246"/>
      <c r="J34" s="247"/>
      <c r="K34" s="247"/>
      <c r="L34" s="247"/>
      <c r="M34" s="352"/>
      <c r="N34" s="643"/>
      <c r="O34" s="643"/>
      <c r="P34" s="643"/>
      <c r="Q34" s="564"/>
      <c r="R34" s="564"/>
      <c r="S34" s="564"/>
      <c r="T34" s="564"/>
      <c r="U34" s="564"/>
      <c r="V34" s="564"/>
    </row>
    <row r="35" spans="1:25" ht="15.75" customHeight="1">
      <c r="A35" s="112"/>
      <c r="B35" s="7" t="s">
        <v>373</v>
      </c>
      <c r="C35" s="29" t="s">
        <v>53</v>
      </c>
      <c r="D35" s="20">
        <f>D28</f>
        <v>0</v>
      </c>
      <c r="E35" s="20">
        <f t="shared" ref="E35:H35" si="17">(E28+E30)/2</f>
        <v>295609.13400000002</v>
      </c>
      <c r="F35" s="20">
        <f t="shared" si="17"/>
        <v>301514.53350000002</v>
      </c>
      <c r="G35" s="20">
        <f t="shared" si="17"/>
        <v>278218.39899999998</v>
      </c>
      <c r="H35" s="20">
        <f t="shared" si="17"/>
        <v>302950.12050000002</v>
      </c>
      <c r="I35" s="122">
        <f t="shared" ref="I35:M35" si="18">I28</f>
        <v>334588.90000000002</v>
      </c>
      <c r="J35" s="20">
        <f t="shared" si="18"/>
        <v>325210.70105661266</v>
      </c>
      <c r="K35" s="20">
        <f t="shared" si="18"/>
        <v>313866.37252838857</v>
      </c>
      <c r="L35" s="20">
        <f t="shared" si="18"/>
        <v>290726.32598661917</v>
      </c>
      <c r="M35" s="148">
        <f t="shared" si="18"/>
        <v>266221.31475592119</v>
      </c>
      <c r="N35" s="643"/>
      <c r="O35" s="643"/>
      <c r="P35" s="643"/>
      <c r="Q35" s="564"/>
      <c r="R35" s="564"/>
      <c r="S35" s="564"/>
      <c r="T35" s="564"/>
      <c r="U35" s="564"/>
      <c r="V35" s="564"/>
    </row>
    <row r="36" spans="1:25" ht="15.75" customHeight="1">
      <c r="A36" s="44"/>
      <c r="B36" s="16" t="s">
        <v>378</v>
      </c>
      <c r="C36" s="29" t="s">
        <v>53</v>
      </c>
      <c r="D36" s="20">
        <v>0</v>
      </c>
      <c r="E36" s="20">
        <f>-'Income Statement'!E38</f>
        <v>17531.866000000002</v>
      </c>
      <c r="F36" s="20">
        <f>-'Income Statement'!F38</f>
        <v>19837.911</v>
      </c>
      <c r="G36" s="20">
        <f>-'Income Statement'!G38</f>
        <v>17757.473000000002</v>
      </c>
      <c r="H36" s="20">
        <f>-'Income Statement'!H38</f>
        <v>21589.024000000001</v>
      </c>
      <c r="I36" s="122">
        <v>20000</v>
      </c>
      <c r="J36" s="20">
        <v>20000</v>
      </c>
      <c r="K36" s="20">
        <v>20000</v>
      </c>
      <c r="L36" s="20">
        <v>20000</v>
      </c>
      <c r="M36" s="148">
        <v>20000</v>
      </c>
      <c r="N36" s="643"/>
      <c r="O36" s="643"/>
      <c r="P36" s="643"/>
      <c r="Q36" s="467"/>
      <c r="R36" s="467"/>
      <c r="S36" s="467"/>
      <c r="T36" s="467"/>
      <c r="U36" s="467"/>
      <c r="V36" s="467"/>
      <c r="W36" s="7"/>
      <c r="X36" s="7"/>
      <c r="Y36" s="7"/>
    </row>
    <row r="37" spans="1:25" ht="15.75" customHeight="1">
      <c r="A37" s="44"/>
      <c r="B37" s="16"/>
      <c r="C37" s="29"/>
      <c r="D37" s="355"/>
      <c r="E37" s="61"/>
      <c r="F37" s="61"/>
      <c r="G37" s="61"/>
      <c r="H37" s="61"/>
      <c r="I37" s="75"/>
      <c r="J37" s="61"/>
      <c r="K37" s="61"/>
      <c r="L37" s="61"/>
      <c r="M37" s="340"/>
      <c r="N37" s="467"/>
      <c r="O37" s="467"/>
      <c r="P37" s="467"/>
      <c r="Q37" s="467"/>
      <c r="R37" s="467"/>
      <c r="S37" s="467"/>
      <c r="T37" s="467"/>
      <c r="U37" s="467"/>
      <c r="V37" s="467"/>
      <c r="W37" s="7"/>
      <c r="X37" s="7"/>
      <c r="Y37" s="7"/>
    </row>
    <row r="38" spans="1:25" ht="15.75" customHeight="1">
      <c r="A38" s="44"/>
      <c r="B38" s="14" t="s">
        <v>379</v>
      </c>
      <c r="C38" s="356">
        <f>AVERAGE(C41,F41,I41)</f>
        <v>6.4714627270117717E-2</v>
      </c>
      <c r="D38" s="242"/>
      <c r="E38" s="30"/>
      <c r="F38" s="30"/>
      <c r="G38" s="30"/>
      <c r="H38" s="30"/>
      <c r="I38" s="7"/>
      <c r="J38" s="7"/>
      <c r="K38" s="7"/>
      <c r="L38" s="7"/>
      <c r="M38" s="341"/>
      <c r="N38" s="467"/>
      <c r="O38" s="467"/>
      <c r="P38" s="467"/>
      <c r="Q38" s="467"/>
      <c r="R38" s="467"/>
      <c r="S38" s="467"/>
      <c r="T38" s="467"/>
      <c r="U38" s="467"/>
      <c r="V38" s="467"/>
      <c r="W38" s="7"/>
      <c r="X38" s="7"/>
      <c r="Y38" s="7"/>
    </row>
    <row r="39" spans="1:25" ht="15.75" customHeight="1">
      <c r="A39" s="44"/>
      <c r="B39" s="7" t="s">
        <v>380</v>
      </c>
      <c r="C39" s="20">
        <v>334589</v>
      </c>
      <c r="D39" s="7" t="s">
        <v>381</v>
      </c>
      <c r="E39" s="30"/>
      <c r="F39" s="20">
        <f>G35</f>
        <v>278218.39899999998</v>
      </c>
      <c r="G39" s="7" t="s">
        <v>382</v>
      </c>
      <c r="H39" s="30"/>
      <c r="I39" s="20">
        <f>F35</f>
        <v>301514.53350000002</v>
      </c>
      <c r="J39" s="7"/>
      <c r="K39" s="7"/>
      <c r="L39" s="7"/>
      <c r="M39" s="341"/>
      <c r="N39" s="467"/>
      <c r="O39" s="467"/>
      <c r="P39" s="467"/>
      <c r="Q39" s="467"/>
      <c r="R39" s="467"/>
      <c r="S39" s="467"/>
      <c r="T39" s="467"/>
      <c r="U39" s="467"/>
      <c r="V39" s="467"/>
      <c r="W39" s="7"/>
      <c r="X39" s="7"/>
      <c r="Y39" s="7"/>
    </row>
    <row r="40" spans="1:25" ht="15.75" customHeight="1">
      <c r="A40" s="44"/>
      <c r="B40" s="7" t="s">
        <v>383</v>
      </c>
      <c r="C40" s="20">
        <f>'Income Statement'!H38*-1</f>
        <v>21589.024000000001</v>
      </c>
      <c r="D40" s="7" t="s">
        <v>384</v>
      </c>
      <c r="E40" s="30"/>
      <c r="F40" s="20">
        <f>'Income Statement'!G38*-1</f>
        <v>17757.473000000002</v>
      </c>
      <c r="G40" s="7" t="s">
        <v>385</v>
      </c>
      <c r="H40" s="30"/>
      <c r="I40" s="20">
        <f>'Income Statement'!F38*-1</f>
        <v>19837.911</v>
      </c>
      <c r="J40" s="7"/>
      <c r="K40" s="7"/>
      <c r="L40" s="7"/>
      <c r="M40" s="341"/>
      <c r="N40" s="467"/>
      <c r="O40" s="467"/>
      <c r="P40" s="467"/>
      <c r="Q40" s="467"/>
      <c r="R40" s="467"/>
      <c r="S40" s="467"/>
      <c r="T40" s="467"/>
      <c r="U40" s="467"/>
      <c r="V40" s="467"/>
      <c r="W40" s="7"/>
      <c r="X40" s="7"/>
      <c r="Y40" s="7"/>
    </row>
    <row r="41" spans="1:25" ht="15.75" customHeight="1">
      <c r="A41" s="262"/>
      <c r="B41" s="45" t="s">
        <v>386</v>
      </c>
      <c r="C41" s="357">
        <f>C40/C39</f>
        <v>6.4524010054126113E-2</v>
      </c>
      <c r="D41" s="45" t="s">
        <v>386</v>
      </c>
      <c r="E41" s="98"/>
      <c r="F41" s="357">
        <f>F40/F39</f>
        <v>6.3825660214513719E-2</v>
      </c>
      <c r="G41" s="45" t="s">
        <v>386</v>
      </c>
      <c r="H41" s="98"/>
      <c r="I41" s="357">
        <f>I40/I39</f>
        <v>6.5794211541713291E-2</v>
      </c>
      <c r="J41" s="237"/>
      <c r="K41" s="237"/>
      <c r="L41" s="237"/>
      <c r="M41" s="291"/>
      <c r="N41" s="467"/>
      <c r="O41" s="467"/>
      <c r="P41" s="467"/>
      <c r="Q41" s="467"/>
      <c r="R41" s="467"/>
      <c r="S41" s="467"/>
      <c r="T41" s="467"/>
      <c r="U41" s="467"/>
      <c r="V41" s="467"/>
      <c r="W41" s="7"/>
      <c r="X41" s="7"/>
      <c r="Y41" s="7"/>
    </row>
    <row r="42" spans="1:25" ht="15.75" customHeight="1">
      <c r="A42" s="7"/>
      <c r="B42" s="7"/>
      <c r="C42" s="30"/>
      <c r="D42" s="30"/>
      <c r="E42" s="30"/>
      <c r="F42" s="30"/>
      <c r="G42" s="30"/>
      <c r="H42" s="30"/>
      <c r="I42" s="7"/>
      <c r="J42" s="7"/>
      <c r="K42" s="7"/>
      <c r="L42" s="7"/>
      <c r="M42" s="7"/>
      <c r="N42" s="7"/>
      <c r="O42" s="7"/>
      <c r="P42" s="7"/>
      <c r="Q42" s="7"/>
      <c r="R42" s="7"/>
      <c r="S42" s="7"/>
      <c r="T42" s="7"/>
      <c r="U42" s="7"/>
      <c r="V42" s="7"/>
      <c r="W42" s="7"/>
      <c r="X42" s="7"/>
      <c r="Y42" s="7"/>
    </row>
    <row r="43" spans="1:25" ht="15.75" customHeight="1">
      <c r="A43" s="297"/>
      <c r="B43" s="298"/>
      <c r="C43" s="299"/>
      <c r="D43" s="637" t="s">
        <v>48</v>
      </c>
      <c r="E43" s="638"/>
      <c r="F43" s="638"/>
      <c r="G43" s="638"/>
      <c r="H43" s="639"/>
      <c r="I43" s="640" t="s">
        <v>49</v>
      </c>
      <c r="J43" s="638"/>
      <c r="K43" s="638"/>
      <c r="L43" s="638"/>
      <c r="M43" s="641"/>
      <c r="N43" s="7"/>
      <c r="O43" s="7"/>
      <c r="P43" s="7"/>
      <c r="Q43" s="7"/>
      <c r="R43" s="7"/>
      <c r="S43" s="7"/>
      <c r="T43" s="7"/>
      <c r="U43" s="7"/>
      <c r="V43" s="7"/>
      <c r="W43" s="7"/>
      <c r="X43" s="7"/>
      <c r="Y43" s="7"/>
    </row>
    <row r="44" spans="1:25" ht="15.75" customHeight="1">
      <c r="A44" s="347" t="s">
        <v>387</v>
      </c>
      <c r="B44" s="348"/>
      <c r="C44" s="349" t="s">
        <v>51</v>
      </c>
      <c r="D44" s="350" t="s">
        <v>17</v>
      </c>
      <c r="E44" s="350" t="s">
        <v>18</v>
      </c>
      <c r="F44" s="350" t="s">
        <v>19</v>
      </c>
      <c r="G44" s="350" t="s">
        <v>20</v>
      </c>
      <c r="H44" s="350" t="s">
        <v>21</v>
      </c>
      <c r="I44" s="351" t="s">
        <v>22</v>
      </c>
      <c r="J44" s="305" t="s">
        <v>23</v>
      </c>
      <c r="K44" s="305" t="s">
        <v>24</v>
      </c>
      <c r="L44" s="305" t="s">
        <v>25</v>
      </c>
      <c r="M44" s="306" t="s">
        <v>26</v>
      </c>
      <c r="N44" s="307" t="s">
        <v>351</v>
      </c>
      <c r="O44" s="7"/>
      <c r="P44" s="7"/>
      <c r="Q44" s="7"/>
      <c r="R44" s="7"/>
      <c r="S44" s="7"/>
      <c r="T44" s="7"/>
      <c r="U44" s="7"/>
      <c r="V44" s="7"/>
      <c r="W44" s="7"/>
      <c r="X44" s="7"/>
      <c r="Y44" s="7"/>
    </row>
    <row r="45" spans="1:25" ht="15.75" customHeight="1">
      <c r="A45" s="44"/>
      <c r="B45" s="14" t="s">
        <v>388</v>
      </c>
      <c r="C45" s="55" t="s">
        <v>53</v>
      </c>
      <c r="D45" s="20">
        <v>0</v>
      </c>
      <c r="E45" s="20">
        <f t="shared" ref="E45:H45" si="19">SUM(D51:D52)</f>
        <v>58320.497000000003</v>
      </c>
      <c r="F45" s="20">
        <f t="shared" si="19"/>
        <v>56366.399000000005</v>
      </c>
      <c r="G45" s="20">
        <f t="shared" si="19"/>
        <v>57127.417000000001</v>
      </c>
      <c r="H45" s="20">
        <f t="shared" si="19"/>
        <v>54892.792000000001</v>
      </c>
      <c r="I45" s="192">
        <f t="shared" ref="I45:M45" si="20">H48</f>
        <v>54820.654999999999</v>
      </c>
      <c r="J45" s="103">
        <f t="shared" si="20"/>
        <v>53337.595399999998</v>
      </c>
      <c r="K45" s="103">
        <f t="shared" si="20"/>
        <v>51824.874607999998</v>
      </c>
      <c r="L45" s="103">
        <f t="shared" si="20"/>
        <v>50281.89940016</v>
      </c>
      <c r="M45" s="313">
        <f t="shared" si="20"/>
        <v>48708.064688163198</v>
      </c>
      <c r="N45" s="193"/>
      <c r="O45" s="7"/>
      <c r="P45" s="7"/>
      <c r="Q45" s="7"/>
      <c r="R45" s="7"/>
      <c r="S45" s="7"/>
      <c r="T45" s="7"/>
      <c r="U45" s="7"/>
      <c r="V45" s="7"/>
      <c r="W45" s="7"/>
      <c r="X45" s="7"/>
      <c r="Y45" s="7"/>
    </row>
    <row r="46" spans="1:25" ht="15.75" customHeight="1">
      <c r="A46" s="44"/>
      <c r="B46" s="16" t="s">
        <v>389</v>
      </c>
      <c r="C46" s="29" t="s">
        <v>53</v>
      </c>
      <c r="D46" s="20">
        <v>0</v>
      </c>
      <c r="E46" s="20">
        <f t="shared" ref="E46:H46" si="21">-(SUM(E45,E47)-E49)</f>
        <v>-592.5309999999954</v>
      </c>
      <c r="F46" s="20">
        <f t="shared" si="21"/>
        <v>2103.7099999999991</v>
      </c>
      <c r="G46" s="20">
        <f t="shared" si="21"/>
        <v>-91.654999999998836</v>
      </c>
      <c r="H46" s="20">
        <f t="shared" si="21"/>
        <v>1381.8430000000008</v>
      </c>
      <c r="I46" s="192">
        <v>0</v>
      </c>
      <c r="J46" s="103">
        <v>0</v>
      </c>
      <c r="K46" s="103">
        <v>0</v>
      </c>
      <c r="L46" s="103">
        <v>0</v>
      </c>
      <c r="M46" s="313">
        <v>0</v>
      </c>
      <c r="N46" s="467"/>
      <c r="O46" s="7"/>
      <c r="P46" s="7"/>
      <c r="Q46" s="7"/>
      <c r="R46" s="7"/>
      <c r="S46" s="7"/>
      <c r="T46" s="7"/>
      <c r="U46" s="7"/>
      <c r="V46" s="7"/>
      <c r="W46" s="7"/>
      <c r="X46" s="7"/>
      <c r="Y46" s="7"/>
    </row>
    <row r="47" spans="1:25" ht="15.75" customHeight="1">
      <c r="A47" s="44"/>
      <c r="B47" s="16" t="s">
        <v>315</v>
      </c>
      <c r="C47" s="29" t="s">
        <v>53</v>
      </c>
      <c r="D47" s="20">
        <f>'Cash Flow'!D48</f>
        <v>-21114.616000000002</v>
      </c>
      <c r="E47" s="20">
        <f>'Cash Flow'!E48</f>
        <v>-1361.567</v>
      </c>
      <c r="F47" s="20">
        <f>'Cash Flow'!F48</f>
        <v>-1342.692</v>
      </c>
      <c r="G47" s="20">
        <f>'Cash Flow'!G48</f>
        <v>-2142.9699999999998</v>
      </c>
      <c r="H47" s="20">
        <f>'Cash Flow'!H48</f>
        <v>-1453.98</v>
      </c>
      <c r="I47" s="192">
        <f t="shared" ref="I47:M47" si="22">H47*1.02</f>
        <v>-1483.0596</v>
      </c>
      <c r="J47" s="103">
        <f t="shared" si="22"/>
        <v>-1512.7207920000001</v>
      </c>
      <c r="K47" s="103">
        <f t="shared" si="22"/>
        <v>-1542.9752078400002</v>
      </c>
      <c r="L47" s="103">
        <f t="shared" si="22"/>
        <v>-1573.8347119968003</v>
      </c>
      <c r="M47" s="313">
        <f t="shared" si="22"/>
        <v>-1605.3114062367363</v>
      </c>
      <c r="N47" s="203" t="s">
        <v>390</v>
      </c>
      <c r="O47" s="7"/>
      <c r="P47" s="7"/>
      <c r="Q47" s="7"/>
      <c r="R47" s="7"/>
      <c r="S47" s="7"/>
      <c r="T47" s="7"/>
      <c r="U47" s="7"/>
      <c r="V47" s="7"/>
      <c r="W47" s="7"/>
      <c r="X47" s="7"/>
      <c r="Y47" s="7"/>
    </row>
    <row r="48" spans="1:25" ht="15.75" customHeight="1">
      <c r="A48" s="44"/>
      <c r="B48" s="45" t="s">
        <v>391</v>
      </c>
      <c r="C48" s="46" t="s">
        <v>53</v>
      </c>
      <c r="D48" s="47">
        <f>D51+D52</f>
        <v>58320.497000000003</v>
      </c>
      <c r="E48" s="47">
        <f t="shared" ref="E48:M48" si="23">SUM(E45:E47)</f>
        <v>56366.399000000005</v>
      </c>
      <c r="F48" s="47">
        <f t="shared" si="23"/>
        <v>57127.417000000001</v>
      </c>
      <c r="G48" s="47">
        <f t="shared" si="23"/>
        <v>54892.792000000001</v>
      </c>
      <c r="H48" s="47">
        <f t="shared" si="23"/>
        <v>54820.654999999999</v>
      </c>
      <c r="I48" s="48">
        <f t="shared" si="23"/>
        <v>53337.595399999998</v>
      </c>
      <c r="J48" s="47">
        <f t="shared" si="23"/>
        <v>51824.874607999998</v>
      </c>
      <c r="K48" s="47">
        <f t="shared" si="23"/>
        <v>50281.89940016</v>
      </c>
      <c r="L48" s="47">
        <f t="shared" si="23"/>
        <v>48708.064688163198</v>
      </c>
      <c r="M48" s="99">
        <f t="shared" si="23"/>
        <v>47102.75328192646</v>
      </c>
      <c r="N48" s="193"/>
      <c r="O48" s="7"/>
      <c r="P48" s="7"/>
      <c r="Q48" s="7"/>
      <c r="R48" s="7"/>
      <c r="S48" s="7"/>
      <c r="T48" s="7"/>
      <c r="U48" s="7"/>
      <c r="V48" s="7"/>
      <c r="W48" s="7"/>
      <c r="X48" s="7"/>
      <c r="Y48" s="7"/>
    </row>
    <row r="49" spans="1:25" ht="15.75" customHeight="1">
      <c r="A49" s="44"/>
      <c r="B49" s="314" t="s">
        <v>356</v>
      </c>
      <c r="C49" s="315" t="s">
        <v>53</v>
      </c>
      <c r="D49" s="316">
        <f t="shared" ref="D49:M49" si="24">SUM(D51:D52)</f>
        <v>58320.497000000003</v>
      </c>
      <c r="E49" s="316">
        <f t="shared" si="24"/>
        <v>56366.399000000005</v>
      </c>
      <c r="F49" s="316">
        <f t="shared" si="24"/>
        <v>57127.417000000001</v>
      </c>
      <c r="G49" s="316">
        <f t="shared" si="24"/>
        <v>54892.792000000001</v>
      </c>
      <c r="H49" s="316">
        <f t="shared" si="24"/>
        <v>54820.654999999999</v>
      </c>
      <c r="I49" s="316">
        <f t="shared" si="24"/>
        <v>53337.595399999998</v>
      </c>
      <c r="J49" s="316">
        <f t="shared" si="24"/>
        <v>51824.874607999998</v>
      </c>
      <c r="K49" s="316">
        <f t="shared" si="24"/>
        <v>50281.89940016</v>
      </c>
      <c r="L49" s="316">
        <f t="shared" si="24"/>
        <v>48708.064688163198</v>
      </c>
      <c r="M49" s="317">
        <f t="shared" si="24"/>
        <v>47102.75328192646</v>
      </c>
      <c r="N49" s="193"/>
      <c r="O49" s="7"/>
      <c r="P49" s="7"/>
      <c r="Q49" s="7"/>
      <c r="R49" s="7"/>
      <c r="S49" s="7"/>
      <c r="T49" s="7"/>
      <c r="U49" s="7"/>
      <c r="V49" s="7"/>
      <c r="W49" s="7"/>
      <c r="X49" s="7"/>
      <c r="Y49" s="7"/>
    </row>
    <row r="50" spans="1:25" ht="15.75" customHeight="1">
      <c r="A50" s="44"/>
      <c r="B50" s="288"/>
      <c r="C50" s="353"/>
      <c r="D50" s="354"/>
      <c r="E50" s="354"/>
      <c r="F50" s="354"/>
      <c r="G50" s="354"/>
      <c r="H50" s="354"/>
      <c r="I50" s="359"/>
      <c r="J50" s="360"/>
      <c r="K50" s="360"/>
      <c r="L50" s="360"/>
      <c r="M50" s="361"/>
      <c r="N50" s="193"/>
      <c r="O50" s="7"/>
      <c r="P50" s="7"/>
      <c r="Q50" s="7"/>
      <c r="R50" s="7"/>
      <c r="S50" s="7"/>
      <c r="T50" s="7"/>
      <c r="U50" s="7"/>
      <c r="V50" s="7"/>
      <c r="W50" s="7"/>
      <c r="X50" s="7"/>
      <c r="Y50" s="7"/>
    </row>
    <row r="51" spans="1:25" ht="15.75" customHeight="1">
      <c r="A51" s="44"/>
      <c r="B51" s="14" t="s">
        <v>253</v>
      </c>
      <c r="C51" s="55" t="s">
        <v>53</v>
      </c>
      <c r="D51" s="57">
        <f>'Balance Sheet'!D31</f>
        <v>3574.5140000000001</v>
      </c>
      <c r="E51" s="57">
        <f>'Balance Sheet'!E31</f>
        <v>3089.2220000000002</v>
      </c>
      <c r="F51" s="57">
        <f>'Balance Sheet'!F31</f>
        <v>3392.819</v>
      </c>
      <c r="G51" s="57">
        <f>'Balance Sheet'!G31</f>
        <v>2675.6689999999999</v>
      </c>
      <c r="H51" s="57">
        <f>'Balance Sheet'!H31</f>
        <v>1992.654</v>
      </c>
      <c r="I51" s="192">
        <v>1993</v>
      </c>
      <c r="J51" s="103">
        <v>1993</v>
      </c>
      <c r="K51" s="103">
        <v>1993</v>
      </c>
      <c r="L51" s="103">
        <v>1993</v>
      </c>
      <c r="M51" s="313">
        <v>1993</v>
      </c>
      <c r="N51" s="193"/>
      <c r="O51" s="7"/>
      <c r="P51" s="7"/>
      <c r="Q51" s="7"/>
      <c r="R51" s="7"/>
      <c r="S51" s="7"/>
      <c r="T51" s="7"/>
      <c r="U51" s="7"/>
      <c r="V51" s="7"/>
      <c r="W51" s="7"/>
      <c r="X51" s="7"/>
      <c r="Y51" s="7"/>
    </row>
    <row r="52" spans="1:25" ht="15.75" customHeight="1">
      <c r="A52" s="44"/>
      <c r="B52" s="14" t="s">
        <v>259</v>
      </c>
      <c r="C52" s="55" t="s">
        <v>53</v>
      </c>
      <c r="D52" s="57">
        <f>'Balance Sheet'!D40</f>
        <v>54745.983</v>
      </c>
      <c r="E52" s="57">
        <f>'Balance Sheet'!E40</f>
        <v>53277.177000000003</v>
      </c>
      <c r="F52" s="57">
        <f>'Balance Sheet'!F40</f>
        <v>53734.597999999998</v>
      </c>
      <c r="G52" s="57">
        <f>'Balance Sheet'!G40</f>
        <v>52217.123</v>
      </c>
      <c r="H52" s="57">
        <f>'Balance Sheet'!H40</f>
        <v>52828.000999999997</v>
      </c>
      <c r="I52" s="246">
        <f t="shared" ref="I52:M52" si="25">I48-I51</f>
        <v>51344.595399999998</v>
      </c>
      <c r="J52" s="247">
        <f t="shared" si="25"/>
        <v>49831.874607999998</v>
      </c>
      <c r="K52" s="247">
        <f t="shared" si="25"/>
        <v>48288.89940016</v>
      </c>
      <c r="L52" s="247">
        <f t="shared" si="25"/>
        <v>46715.064688163198</v>
      </c>
      <c r="M52" s="352">
        <f t="shared" si="25"/>
        <v>45109.75328192646</v>
      </c>
      <c r="N52" s="193"/>
      <c r="O52" s="7"/>
      <c r="P52" s="7"/>
      <c r="Q52" s="7"/>
      <c r="R52" s="7"/>
      <c r="S52" s="7"/>
      <c r="T52" s="7"/>
      <c r="U52" s="7"/>
      <c r="V52" s="7"/>
      <c r="W52" s="7"/>
      <c r="X52" s="7"/>
      <c r="Y52" s="7"/>
    </row>
    <row r="53" spans="1:25" ht="15.75" customHeight="1">
      <c r="A53" s="112"/>
      <c r="B53" s="362"/>
      <c r="C53" s="78"/>
      <c r="D53" s="80"/>
      <c r="E53" s="80"/>
      <c r="F53" s="80"/>
      <c r="G53" s="80"/>
      <c r="H53" s="80"/>
      <c r="I53" s="246"/>
      <c r="J53" s="103"/>
      <c r="K53" s="103"/>
      <c r="L53" s="103"/>
      <c r="M53" s="313"/>
      <c r="N53" s="193"/>
      <c r="O53" s="7"/>
      <c r="P53" s="7"/>
      <c r="Q53" s="7"/>
      <c r="R53" s="7"/>
      <c r="S53" s="7"/>
      <c r="T53" s="7"/>
      <c r="U53" s="7"/>
      <c r="V53" s="7"/>
      <c r="W53" s="7"/>
      <c r="X53" s="7"/>
      <c r="Y53" s="7"/>
    </row>
    <row r="54" spans="1:25" ht="15.75" customHeight="1">
      <c r="A54" s="112"/>
      <c r="B54" s="14" t="s">
        <v>392</v>
      </c>
      <c r="C54" s="54"/>
      <c r="D54" s="20">
        <v>4459.9960000000001</v>
      </c>
      <c r="E54" s="20">
        <v>4507.951</v>
      </c>
      <c r="F54" s="20">
        <v>4524.6850000000004</v>
      </c>
      <c r="G54" s="20">
        <v>4569.8329999999996</v>
      </c>
      <c r="H54" s="20">
        <v>4559.0839999999998</v>
      </c>
      <c r="I54" s="192">
        <f t="shared" ref="I54:M54" si="26">SUM(I51:I52)*$C$57</f>
        <v>4429.9181901079764</v>
      </c>
      <c r="J54" s="337">
        <f t="shared" si="26"/>
        <v>4304.2801799430981</v>
      </c>
      <c r="K54" s="337">
        <f t="shared" si="26"/>
        <v>4176.1294095749226</v>
      </c>
      <c r="L54" s="337">
        <f t="shared" si="26"/>
        <v>4045.4156237993839</v>
      </c>
      <c r="M54" s="363">
        <f t="shared" si="26"/>
        <v>3912.0875623083339</v>
      </c>
      <c r="N54" s="193"/>
      <c r="O54" s="7"/>
      <c r="P54" s="7"/>
      <c r="Q54" s="7"/>
      <c r="R54" s="7"/>
      <c r="S54" s="7"/>
      <c r="T54" s="7"/>
      <c r="U54" s="7"/>
      <c r="V54" s="7"/>
      <c r="W54" s="7"/>
      <c r="X54" s="7"/>
      <c r="Y54" s="7"/>
    </row>
    <row r="55" spans="1:25" ht="15.75" customHeight="1">
      <c r="A55" s="112"/>
      <c r="B55" s="14" t="s">
        <v>393</v>
      </c>
      <c r="C55" s="54" t="s">
        <v>55</v>
      </c>
      <c r="D55" s="364">
        <f t="shared" ref="D55:M55" si="27">D54/(SUM(D51:D52))</f>
        <v>7.6473902477202829E-2</v>
      </c>
      <c r="E55" s="364">
        <f t="shared" si="27"/>
        <v>7.9975855828576164E-2</v>
      </c>
      <c r="F55" s="364">
        <f t="shared" si="27"/>
        <v>7.9203388453568627E-2</v>
      </c>
      <c r="G55" s="364">
        <f t="shared" si="27"/>
        <v>8.325014694096812E-2</v>
      </c>
      <c r="H55" s="364">
        <f t="shared" si="27"/>
        <v>8.3163617800626422E-2</v>
      </c>
      <c r="I55" s="365">
        <f t="shared" si="27"/>
        <v>8.3054328881649889E-2</v>
      </c>
      <c r="J55" s="364">
        <f t="shared" si="27"/>
        <v>8.3054328881649889E-2</v>
      </c>
      <c r="K55" s="364">
        <f t="shared" si="27"/>
        <v>8.3054328881649889E-2</v>
      </c>
      <c r="L55" s="364">
        <f t="shared" si="27"/>
        <v>8.3054328881649889E-2</v>
      </c>
      <c r="M55" s="366">
        <f t="shared" si="27"/>
        <v>8.3054328881649889E-2</v>
      </c>
      <c r="N55" s="193"/>
      <c r="O55" s="7"/>
      <c r="P55" s="7"/>
      <c r="Q55" s="7"/>
      <c r="R55" s="7"/>
      <c r="S55" s="7"/>
      <c r="T55" s="7"/>
      <c r="U55" s="7"/>
      <c r="V55" s="7"/>
      <c r="W55" s="7"/>
      <c r="X55" s="7"/>
      <c r="Y55" s="7"/>
    </row>
    <row r="56" spans="1:25" ht="15.75" customHeight="1">
      <c r="A56" s="44"/>
      <c r="B56" s="16"/>
      <c r="C56" s="29"/>
      <c r="E56" s="61"/>
      <c r="F56" s="61"/>
      <c r="G56" s="61"/>
      <c r="H56" s="61"/>
      <c r="I56" s="61"/>
      <c r="J56" s="61"/>
      <c r="K56" s="61"/>
      <c r="L56" s="61"/>
      <c r="M56" s="340"/>
      <c r="N56" s="193"/>
      <c r="O56" s="7"/>
      <c r="P56" s="7"/>
      <c r="Q56" s="7"/>
      <c r="R56" s="7"/>
      <c r="S56" s="7"/>
      <c r="T56" s="7"/>
      <c r="U56" s="7"/>
      <c r="V56" s="7"/>
      <c r="W56" s="7"/>
      <c r="X56" s="7"/>
      <c r="Y56" s="7"/>
    </row>
    <row r="57" spans="1:25" ht="15.75" customHeight="1">
      <c r="A57" s="44"/>
      <c r="B57" s="14" t="s">
        <v>393</v>
      </c>
      <c r="C57" s="364">
        <f>C58/C59</f>
        <v>8.3054328881649889E-2</v>
      </c>
      <c r="D57" s="355"/>
      <c r="E57" s="30"/>
      <c r="F57" s="30"/>
      <c r="G57" s="30"/>
      <c r="H57" s="30"/>
      <c r="I57" s="7"/>
      <c r="J57" s="7"/>
      <c r="K57" s="7"/>
      <c r="L57" s="7"/>
      <c r="M57" s="341"/>
      <c r="N57" s="193"/>
      <c r="O57" s="7"/>
      <c r="P57" s="7"/>
      <c r="Q57" s="7"/>
      <c r="R57" s="7"/>
      <c r="S57" s="7"/>
      <c r="T57" s="7"/>
      <c r="U57" s="7"/>
      <c r="V57" s="7"/>
      <c r="W57" s="7"/>
      <c r="X57" s="7"/>
      <c r="Y57" s="7"/>
    </row>
    <row r="58" spans="1:25" ht="15.75" customHeight="1">
      <c r="A58" s="44"/>
      <c r="B58" s="7" t="s">
        <v>394</v>
      </c>
      <c r="C58" s="20">
        <f>H54</f>
        <v>4559.0839999999998</v>
      </c>
      <c r="D58" s="271"/>
      <c r="E58" s="271"/>
      <c r="F58" s="271"/>
      <c r="G58" s="271"/>
      <c r="H58" s="271"/>
      <c r="I58" s="271"/>
      <c r="J58" s="271"/>
      <c r="K58" s="271"/>
      <c r="L58" s="271"/>
      <c r="M58" s="367"/>
      <c r="N58" s="193"/>
      <c r="O58" s="7"/>
      <c r="P58" s="7"/>
      <c r="Q58" s="7"/>
      <c r="R58" s="7"/>
      <c r="S58" s="7"/>
      <c r="T58" s="7"/>
      <c r="U58" s="7"/>
      <c r="V58" s="7"/>
      <c r="W58" s="7"/>
      <c r="X58" s="7"/>
      <c r="Y58" s="7"/>
    </row>
    <row r="59" spans="1:25" ht="15.75" customHeight="1">
      <c r="A59" s="44"/>
      <c r="B59" s="7" t="s">
        <v>395</v>
      </c>
      <c r="C59" s="20">
        <f>H45</f>
        <v>54892.792000000001</v>
      </c>
      <c r="D59" s="271"/>
      <c r="E59" s="271"/>
      <c r="F59" s="271"/>
      <c r="G59" s="271"/>
      <c r="H59" s="271"/>
      <c r="I59" s="271"/>
      <c r="J59" s="271"/>
      <c r="K59" s="271"/>
      <c r="L59" s="271"/>
      <c r="M59" s="367"/>
      <c r="N59" s="193"/>
      <c r="O59" s="7"/>
      <c r="P59" s="7"/>
      <c r="Q59" s="7"/>
      <c r="R59" s="7"/>
      <c r="S59" s="7"/>
      <c r="T59" s="7"/>
      <c r="U59" s="7"/>
      <c r="V59" s="7"/>
      <c r="W59" s="7"/>
      <c r="X59" s="7"/>
      <c r="Y59" s="7"/>
    </row>
    <row r="60" spans="1:25" ht="15.75" customHeight="1">
      <c r="A60" s="44"/>
      <c r="B60" s="7"/>
      <c r="C60" s="30"/>
      <c r="D60" s="30"/>
      <c r="E60" s="30"/>
      <c r="F60" s="30"/>
      <c r="G60" s="30"/>
      <c r="H60" s="30"/>
      <c r="I60" s="7"/>
      <c r="J60" s="7"/>
      <c r="K60" s="7"/>
      <c r="L60" s="7"/>
      <c r="M60" s="341"/>
      <c r="N60" s="193"/>
      <c r="O60" s="7"/>
      <c r="P60" s="7"/>
      <c r="Q60" s="7"/>
      <c r="R60" s="7"/>
      <c r="S60" s="7"/>
      <c r="T60" s="7"/>
      <c r="U60" s="7"/>
      <c r="V60" s="7"/>
      <c r="W60" s="7"/>
      <c r="X60" s="7"/>
      <c r="Y60" s="7"/>
    </row>
    <row r="61" spans="1:25" ht="15.75" customHeight="1">
      <c r="A61" s="44"/>
      <c r="B61" s="7"/>
      <c r="C61" s="30"/>
      <c r="D61" s="30"/>
      <c r="E61" s="30"/>
      <c r="F61" s="30"/>
      <c r="G61" s="30"/>
      <c r="H61" s="30"/>
      <c r="I61" s="7"/>
      <c r="J61" s="7"/>
      <c r="K61" s="7"/>
      <c r="L61" s="7"/>
      <c r="M61" s="341"/>
      <c r="N61" s="193"/>
      <c r="O61" s="7"/>
      <c r="P61" s="7"/>
      <c r="Q61" s="7"/>
      <c r="R61" s="7"/>
      <c r="S61" s="7"/>
      <c r="T61" s="7"/>
      <c r="U61" s="7"/>
      <c r="V61" s="7"/>
      <c r="W61" s="7"/>
      <c r="X61" s="7"/>
      <c r="Y61" s="7"/>
    </row>
    <row r="62" spans="1:25" ht="15.75" customHeight="1">
      <c r="A62" s="297"/>
      <c r="B62" s="298"/>
      <c r="C62" s="299"/>
      <c r="D62" s="637" t="s">
        <v>48</v>
      </c>
      <c r="E62" s="638"/>
      <c r="F62" s="638"/>
      <c r="G62" s="638"/>
      <c r="H62" s="639"/>
      <c r="I62" s="640" t="s">
        <v>49</v>
      </c>
      <c r="J62" s="638"/>
      <c r="K62" s="638"/>
      <c r="L62" s="638"/>
      <c r="M62" s="641"/>
      <c r="N62" s="193"/>
      <c r="O62" s="7"/>
      <c r="P62" s="7"/>
      <c r="Q62" s="7"/>
      <c r="R62" s="7"/>
      <c r="S62" s="7"/>
      <c r="T62" s="7"/>
      <c r="U62" s="7"/>
      <c r="V62" s="7"/>
      <c r="W62" s="7"/>
      <c r="X62" s="7"/>
      <c r="Y62" s="7"/>
    </row>
    <row r="63" spans="1:25" ht="15.75" customHeight="1">
      <c r="A63" s="347" t="s">
        <v>396</v>
      </c>
      <c r="B63" s="348"/>
      <c r="C63" s="349" t="s">
        <v>51</v>
      </c>
      <c r="D63" s="350" t="s">
        <v>17</v>
      </c>
      <c r="E63" s="350" t="s">
        <v>18</v>
      </c>
      <c r="F63" s="350" t="s">
        <v>19</v>
      </c>
      <c r="G63" s="350" t="s">
        <v>20</v>
      </c>
      <c r="H63" s="350" t="s">
        <v>21</v>
      </c>
      <c r="I63" s="351" t="s">
        <v>22</v>
      </c>
      <c r="J63" s="305" t="s">
        <v>23</v>
      </c>
      <c r="K63" s="305" t="s">
        <v>24</v>
      </c>
      <c r="L63" s="305" t="s">
        <v>25</v>
      </c>
      <c r="M63" s="306" t="s">
        <v>26</v>
      </c>
      <c r="N63" s="307" t="s">
        <v>351</v>
      </c>
      <c r="O63" s="7"/>
      <c r="P63" s="7"/>
      <c r="Q63" s="7"/>
      <c r="R63" s="7"/>
      <c r="S63" s="7"/>
      <c r="T63" s="7"/>
      <c r="U63" s="7"/>
      <c r="V63" s="7"/>
      <c r="W63" s="7"/>
      <c r="X63" s="7"/>
      <c r="Y63" s="7"/>
    </row>
    <row r="64" spans="1:25" ht="15.75" customHeight="1">
      <c r="A64" s="112"/>
      <c r="B64" s="14" t="s">
        <v>397</v>
      </c>
      <c r="C64" s="29" t="s">
        <v>53</v>
      </c>
      <c r="D64" s="20">
        <v>0</v>
      </c>
      <c r="E64" s="20">
        <f t="shared" ref="E64:M64" si="28">D70</f>
        <v>62932.741000000002</v>
      </c>
      <c r="F64" s="20">
        <f t="shared" si="28"/>
        <v>56554.402999999998</v>
      </c>
      <c r="G64" s="20">
        <f t="shared" si="28"/>
        <v>52203.981</v>
      </c>
      <c r="H64" s="20">
        <f t="shared" si="28"/>
        <v>46782.798999999999</v>
      </c>
      <c r="I64" s="122">
        <f t="shared" si="28"/>
        <v>38672.826000000001</v>
      </c>
      <c r="J64" s="20">
        <f t="shared" si="28"/>
        <v>33938.460800000001</v>
      </c>
      <c r="K64" s="20">
        <f t="shared" si="28"/>
        <v>30150.968640000003</v>
      </c>
      <c r="L64" s="20">
        <f t="shared" si="28"/>
        <v>27120.974912000005</v>
      </c>
      <c r="M64" s="148">
        <f t="shared" si="28"/>
        <v>24696.979929600006</v>
      </c>
      <c r="N64" s="527"/>
      <c r="O64" s="527"/>
      <c r="P64" s="527"/>
      <c r="Q64" s="527"/>
      <c r="R64" s="527"/>
      <c r="S64" s="7"/>
      <c r="T64" s="7"/>
      <c r="U64" s="7"/>
      <c r="V64" s="7"/>
      <c r="W64" s="7"/>
      <c r="X64" s="7"/>
      <c r="Y64" s="7"/>
    </row>
    <row r="65" spans="1:25" ht="15.75" customHeight="1">
      <c r="A65" s="112"/>
      <c r="B65" s="16" t="s">
        <v>398</v>
      </c>
      <c r="C65" s="29" t="s">
        <v>53</v>
      </c>
      <c r="D65" s="20">
        <f>-'Cash Flow'!D41</f>
        <v>2451.59</v>
      </c>
      <c r="E65" s="20">
        <f>-'Cash Flow'!E41</f>
        <v>2340.42</v>
      </c>
      <c r="F65" s="20">
        <f>-'Cash Flow'!F41</f>
        <v>4233.8459999999995</v>
      </c>
      <c r="G65" s="20">
        <f>-'Cash Flow'!G41</f>
        <v>2239.79</v>
      </c>
      <c r="H65" s="20">
        <f>-'Cash Flow'!H41</f>
        <v>2703.4549999999999</v>
      </c>
      <c r="I65" s="192">
        <v>3000</v>
      </c>
      <c r="J65" s="103">
        <v>3000</v>
      </c>
      <c r="K65" s="103">
        <v>3000</v>
      </c>
      <c r="L65" s="103">
        <v>3000</v>
      </c>
      <c r="M65" s="103">
        <v>3000</v>
      </c>
      <c r="N65" s="565"/>
      <c r="O65" s="527"/>
      <c r="P65" s="527"/>
      <c r="Q65" s="527"/>
      <c r="R65" s="527"/>
      <c r="S65" s="7"/>
      <c r="T65" s="7"/>
      <c r="U65" s="7"/>
      <c r="V65" s="7"/>
      <c r="W65" s="7"/>
      <c r="X65" s="7"/>
      <c r="Y65" s="7"/>
    </row>
    <row r="66" spans="1:25" ht="15.75" customHeight="1">
      <c r="A66" s="112"/>
      <c r="B66" s="16" t="s">
        <v>399</v>
      </c>
      <c r="C66" s="29" t="s">
        <v>53</v>
      </c>
      <c r="D66" s="20"/>
      <c r="E66" s="20"/>
      <c r="F66" s="20">
        <f>'Cash Flow'!F17</f>
        <v>397.36700000000002</v>
      </c>
      <c r="G66" s="20">
        <v>1123.2570000000001</v>
      </c>
      <c r="H66" s="20">
        <v>186.80099999999999</v>
      </c>
      <c r="I66" s="122">
        <f t="shared" ref="I66:M66" si="29">I46</f>
        <v>0</v>
      </c>
      <c r="J66" s="20">
        <f t="shared" si="29"/>
        <v>0</v>
      </c>
      <c r="K66" s="20">
        <f t="shared" si="29"/>
        <v>0</v>
      </c>
      <c r="L66" s="20">
        <f t="shared" si="29"/>
        <v>0</v>
      </c>
      <c r="M66" s="148">
        <f t="shared" si="29"/>
        <v>0</v>
      </c>
      <c r="N66" s="527"/>
      <c r="O66" s="527"/>
      <c r="P66" s="527"/>
      <c r="Q66" s="527"/>
      <c r="R66" s="527"/>
      <c r="S66" s="7"/>
      <c r="T66" s="7"/>
      <c r="U66" s="7"/>
      <c r="V66" s="7"/>
      <c r="W66" s="7"/>
      <c r="X66" s="7"/>
      <c r="Y66" s="7"/>
    </row>
    <row r="67" spans="1:25" ht="15.75" hidden="1" customHeight="1">
      <c r="A67" s="368"/>
      <c r="B67" s="369" t="s">
        <v>400</v>
      </c>
      <c r="C67" s="370"/>
      <c r="D67" s="371"/>
      <c r="E67" s="371"/>
      <c r="F67" s="371">
        <f>F71-(SUM(F64,F65,F66,F68))</f>
        <v>-794.73399999999674</v>
      </c>
      <c r="G67" s="371"/>
      <c r="H67" s="371">
        <v>-106</v>
      </c>
      <c r="I67" s="372"/>
      <c r="J67" s="371"/>
      <c r="K67" s="371"/>
      <c r="L67" s="371"/>
      <c r="M67" s="373"/>
      <c r="N67" s="566"/>
      <c r="O67" s="566"/>
      <c r="P67" s="566"/>
      <c r="Q67" s="566"/>
      <c r="R67" s="566"/>
      <c r="S67" s="374"/>
      <c r="T67" s="374"/>
      <c r="U67" s="374"/>
      <c r="V67" s="374"/>
      <c r="W67" s="374"/>
      <c r="X67" s="374"/>
      <c r="Y67" s="374"/>
    </row>
    <row r="68" spans="1:25" ht="15" customHeight="1">
      <c r="A68" s="112"/>
      <c r="B68" s="16" t="s">
        <v>401</v>
      </c>
      <c r="C68" s="29" t="s">
        <v>53</v>
      </c>
      <c r="D68" s="20">
        <v>-8157.0730000000003</v>
      </c>
      <c r="E68" s="20">
        <v>-8718.7579999999998</v>
      </c>
      <c r="F68" s="20">
        <v>-8186.9009999999998</v>
      </c>
      <c r="G68" s="20">
        <v>-8784.2289999999994</v>
      </c>
      <c r="H68" s="20">
        <v>-10894.228999999999</v>
      </c>
      <c r="I68" s="122">
        <f t="shared" ref="I68:M68" si="30">I69*-I64</f>
        <v>-7734.5652000000009</v>
      </c>
      <c r="J68" s="20">
        <f t="shared" si="30"/>
        <v>-6787.6921600000005</v>
      </c>
      <c r="K68" s="20">
        <f t="shared" si="30"/>
        <v>-6030.1937280000011</v>
      </c>
      <c r="L68" s="20">
        <f t="shared" si="30"/>
        <v>-5424.1949824000012</v>
      </c>
      <c r="M68" s="148">
        <f t="shared" si="30"/>
        <v>-4939.3959859200013</v>
      </c>
      <c r="N68" s="642" t="s">
        <v>402</v>
      </c>
      <c r="O68" s="587"/>
      <c r="P68" s="587"/>
      <c r="Q68" s="587"/>
      <c r="R68" s="587"/>
      <c r="S68" s="7"/>
      <c r="T68" s="7"/>
      <c r="U68" s="7"/>
      <c r="V68" s="7"/>
      <c r="W68" s="7"/>
      <c r="X68" s="7"/>
      <c r="Y68" s="7"/>
    </row>
    <row r="69" spans="1:25" ht="15.75" customHeight="1">
      <c r="A69" s="112"/>
      <c r="B69" s="16" t="s">
        <v>403</v>
      </c>
      <c r="C69" s="29" t="s">
        <v>55</v>
      </c>
      <c r="D69" s="283">
        <f>-D68/D70</f>
        <v>0.12961572736836618</v>
      </c>
      <c r="E69" s="283">
        <f t="shared" ref="E69:H69" si="31">-E68/E64</f>
        <v>0.13854089082183788</v>
      </c>
      <c r="F69" s="283">
        <f t="shared" si="31"/>
        <v>0.14476151397089276</v>
      </c>
      <c r="G69" s="283">
        <f t="shared" si="31"/>
        <v>0.16826741623402244</v>
      </c>
      <c r="H69" s="283">
        <f t="shared" si="31"/>
        <v>0.23286825997734764</v>
      </c>
      <c r="I69" s="85">
        <v>0.2</v>
      </c>
      <c r="J69" s="86">
        <v>0.2</v>
      </c>
      <c r="K69" s="86">
        <v>0.2</v>
      </c>
      <c r="L69" s="86">
        <v>0.2</v>
      </c>
      <c r="M69" s="87">
        <v>0.2</v>
      </c>
      <c r="N69" s="587"/>
      <c r="O69" s="587"/>
      <c r="P69" s="587"/>
      <c r="Q69" s="587"/>
      <c r="R69" s="587"/>
      <c r="S69" s="7"/>
      <c r="T69" s="7"/>
      <c r="U69" s="7"/>
      <c r="V69" s="7"/>
      <c r="W69" s="7"/>
      <c r="X69" s="7"/>
      <c r="Y69" s="7"/>
    </row>
    <row r="70" spans="1:25" ht="15.75" customHeight="1">
      <c r="A70" s="375"/>
      <c r="B70" s="362" t="s">
        <v>404</v>
      </c>
      <c r="C70" s="78" t="s">
        <v>53</v>
      </c>
      <c r="D70" s="80">
        <f>'Balance Sheet'!D19</f>
        <v>62932.741000000002</v>
      </c>
      <c r="E70" s="80">
        <f t="shared" ref="E70:H70" si="32">SUM(E64:E68)</f>
        <v>56554.402999999998</v>
      </c>
      <c r="F70" s="80">
        <f t="shared" si="32"/>
        <v>52203.981</v>
      </c>
      <c r="G70" s="80">
        <f t="shared" si="32"/>
        <v>46782.798999999999</v>
      </c>
      <c r="H70" s="80">
        <f t="shared" si="32"/>
        <v>38672.826000000001</v>
      </c>
      <c r="I70" s="81">
        <f t="shared" ref="I70:M70" si="33">SUM(I64:I69)</f>
        <v>33938.460800000001</v>
      </c>
      <c r="J70" s="80">
        <f t="shared" si="33"/>
        <v>30150.968640000003</v>
      </c>
      <c r="K70" s="80">
        <f t="shared" si="33"/>
        <v>27120.974912000005</v>
      </c>
      <c r="L70" s="80">
        <f t="shared" si="33"/>
        <v>24696.979929600006</v>
      </c>
      <c r="M70" s="82">
        <f t="shared" si="33"/>
        <v>22757.783943680006</v>
      </c>
      <c r="N70" s="587"/>
      <c r="O70" s="587"/>
      <c r="P70" s="587"/>
      <c r="Q70" s="587"/>
      <c r="R70" s="587"/>
      <c r="S70" s="7"/>
      <c r="T70" s="7"/>
      <c r="U70" s="7"/>
      <c r="V70" s="7"/>
      <c r="W70" s="7"/>
      <c r="X70" s="7"/>
      <c r="Y70" s="7"/>
    </row>
    <row r="71" spans="1:25" ht="15.75" customHeight="1">
      <c r="A71" s="112"/>
      <c r="B71" s="376" t="s">
        <v>356</v>
      </c>
      <c r="C71" s="377" t="s">
        <v>53</v>
      </c>
      <c r="D71" s="378">
        <f>'Balance Sheet'!D19</f>
        <v>62932.741000000002</v>
      </c>
      <c r="E71" s="378">
        <f>'Balance Sheet'!E19</f>
        <v>56554.402999999998</v>
      </c>
      <c r="F71" s="378">
        <f>'Balance Sheet'!F19</f>
        <v>52203.981</v>
      </c>
      <c r="G71" s="378">
        <f>'Balance Sheet'!G19</f>
        <v>46782.387000000002</v>
      </c>
      <c r="H71" s="378">
        <f>'Balance Sheet'!H19</f>
        <v>38672.536999999997</v>
      </c>
      <c r="I71" s="379"/>
      <c r="J71" s="378"/>
      <c r="K71" s="378"/>
      <c r="L71" s="378"/>
      <c r="M71" s="380"/>
      <c r="N71" s="587"/>
      <c r="O71" s="587"/>
      <c r="P71" s="587"/>
      <c r="Q71" s="587"/>
      <c r="R71" s="587"/>
      <c r="S71" s="7"/>
      <c r="T71" s="7"/>
      <c r="U71" s="7"/>
      <c r="V71" s="7"/>
      <c r="W71" s="7"/>
      <c r="X71" s="7"/>
      <c r="Y71" s="7"/>
    </row>
    <row r="72" spans="1:25" ht="15.75" customHeight="1">
      <c r="A72" s="381"/>
      <c r="B72" s="155"/>
      <c r="C72" s="217" t="s">
        <v>405</v>
      </c>
      <c r="D72" s="158">
        <f t="shared" ref="D72:H72" si="34">D70-D71</f>
        <v>0</v>
      </c>
      <c r="E72" s="158">
        <f t="shared" si="34"/>
        <v>0</v>
      </c>
      <c r="F72" s="158">
        <f t="shared" si="34"/>
        <v>0</v>
      </c>
      <c r="G72" s="158">
        <f t="shared" si="34"/>
        <v>0.41199999999662396</v>
      </c>
      <c r="H72" s="158">
        <f t="shared" si="34"/>
        <v>0.28900000000430737</v>
      </c>
      <c r="I72" s="381"/>
      <c r="J72" s="155"/>
      <c r="K72" s="155"/>
      <c r="L72" s="155"/>
      <c r="M72" s="382"/>
      <c r="N72" s="587"/>
      <c r="O72" s="587"/>
      <c r="P72" s="587"/>
      <c r="Q72" s="587"/>
      <c r="R72" s="587"/>
      <c r="S72" s="7"/>
      <c r="T72" s="7"/>
      <c r="U72" s="7"/>
      <c r="V72" s="7"/>
      <c r="W72" s="7"/>
      <c r="X72" s="7"/>
      <c r="Y72" s="7"/>
    </row>
    <row r="73" spans="1:25" ht="15.75" customHeight="1">
      <c r="A73" s="7"/>
      <c r="B73" s="7"/>
      <c r="C73" s="30"/>
      <c r="D73" s="30"/>
      <c r="E73" s="30"/>
      <c r="F73" s="30"/>
      <c r="G73" s="30"/>
      <c r="H73" s="30"/>
      <c r="I73" s="7"/>
      <c r="J73" s="7"/>
      <c r="K73" s="7"/>
      <c r="L73" s="7"/>
      <c r="M73" s="7"/>
      <c r="N73" s="7"/>
      <c r="O73" s="7"/>
      <c r="P73" s="7"/>
      <c r="Q73" s="7"/>
      <c r="R73" s="7"/>
      <c r="S73" s="7"/>
      <c r="T73" s="7"/>
      <c r="U73" s="7"/>
      <c r="V73" s="7"/>
      <c r="W73" s="7"/>
      <c r="X73" s="7"/>
      <c r="Y73" s="7"/>
    </row>
    <row r="74" spans="1:25" ht="15.75" customHeight="1">
      <c r="A74" s="7"/>
      <c r="B74" s="7"/>
      <c r="C74" s="30"/>
      <c r="D74" s="30"/>
      <c r="E74" s="30"/>
      <c r="F74" s="30"/>
      <c r="G74" s="30"/>
      <c r="H74" s="30"/>
      <c r="I74" s="7"/>
      <c r="J74" s="7"/>
      <c r="K74" s="7"/>
      <c r="L74" s="7"/>
      <c r="M74" s="7"/>
      <c r="N74" s="7"/>
      <c r="O74" s="7"/>
      <c r="P74" s="7"/>
      <c r="Q74" s="7"/>
      <c r="R74" s="7"/>
      <c r="S74" s="7"/>
      <c r="T74" s="7"/>
      <c r="U74" s="7"/>
      <c r="V74" s="7"/>
      <c r="W74" s="7"/>
      <c r="X74" s="7"/>
      <c r="Y74" s="7"/>
    </row>
    <row r="75" spans="1:25" ht="15.75" customHeight="1">
      <c r="A75" s="7"/>
      <c r="B75" s="7"/>
      <c r="C75" s="30"/>
      <c r="D75" s="30"/>
      <c r="E75" s="30"/>
      <c r="F75" s="30"/>
      <c r="G75" s="30"/>
      <c r="H75" s="30"/>
      <c r="I75" s="7"/>
      <c r="J75" s="7"/>
      <c r="K75" s="7"/>
      <c r="L75" s="7"/>
      <c r="M75" s="7"/>
      <c r="N75" s="7"/>
      <c r="O75" s="7"/>
      <c r="P75" s="7"/>
      <c r="Q75" s="7"/>
      <c r="R75" s="7"/>
      <c r="S75" s="7"/>
      <c r="T75" s="7"/>
      <c r="U75" s="7"/>
      <c r="V75" s="7"/>
      <c r="W75" s="7"/>
      <c r="X75" s="7"/>
      <c r="Y75" s="7"/>
    </row>
    <row r="76" spans="1:25" ht="15.75" customHeight="1">
      <c r="A76" s="7"/>
      <c r="B76" s="7"/>
      <c r="C76" s="30"/>
      <c r="D76" s="30"/>
      <c r="E76" s="30"/>
      <c r="F76" s="30"/>
      <c r="G76" s="30"/>
      <c r="H76" s="30"/>
      <c r="I76" s="7"/>
      <c r="J76" s="7"/>
      <c r="K76" s="7"/>
      <c r="L76" s="7"/>
      <c r="M76" s="7"/>
      <c r="N76" s="7"/>
      <c r="O76" s="7"/>
      <c r="P76" s="7"/>
      <c r="Q76" s="7"/>
      <c r="R76" s="7"/>
      <c r="S76" s="7"/>
      <c r="T76" s="7"/>
      <c r="U76" s="7"/>
      <c r="V76" s="7"/>
      <c r="W76" s="7"/>
      <c r="X76" s="7"/>
      <c r="Y76" s="7"/>
    </row>
    <row r="77" spans="1:25" ht="15.75" customHeight="1">
      <c r="A77" s="7"/>
      <c r="B77" s="7"/>
      <c r="C77" s="30"/>
      <c r="D77" s="30"/>
      <c r="E77" s="30"/>
      <c r="F77" s="30"/>
      <c r="G77" s="30"/>
      <c r="H77" s="30"/>
      <c r="I77" s="7"/>
      <c r="J77" s="7"/>
      <c r="K77" s="7"/>
      <c r="L77" s="7"/>
      <c r="M77" s="7"/>
      <c r="N77" s="7"/>
      <c r="O77" s="7"/>
      <c r="P77" s="7"/>
      <c r="Q77" s="7"/>
      <c r="R77" s="7"/>
      <c r="S77" s="7"/>
      <c r="T77" s="7"/>
      <c r="U77" s="7"/>
      <c r="V77" s="7"/>
      <c r="W77" s="7"/>
      <c r="X77" s="7"/>
      <c r="Y77" s="7"/>
    </row>
    <row r="78" spans="1:25" ht="15.75" customHeight="1">
      <c r="A78" s="7"/>
      <c r="B78" s="7"/>
      <c r="C78" s="30"/>
      <c r="D78" s="30"/>
      <c r="E78" s="30"/>
      <c r="F78" s="30"/>
      <c r="G78" s="30"/>
      <c r="H78" s="30"/>
      <c r="I78" s="7"/>
      <c r="J78" s="7"/>
      <c r="K78" s="7"/>
      <c r="L78" s="7"/>
      <c r="M78" s="7"/>
      <c r="N78" s="7"/>
      <c r="O78" s="7"/>
      <c r="P78" s="7"/>
      <c r="Q78" s="7"/>
      <c r="R78" s="7"/>
      <c r="S78" s="7"/>
      <c r="T78" s="7"/>
      <c r="U78" s="7"/>
      <c r="V78" s="7"/>
      <c r="W78" s="7"/>
      <c r="X78" s="7"/>
      <c r="Y78" s="7"/>
    </row>
    <row r="79" spans="1:25" ht="15.75" customHeight="1">
      <c r="A79" s="7"/>
      <c r="B79" s="7"/>
      <c r="C79" s="30"/>
      <c r="D79" s="30"/>
      <c r="E79" s="30"/>
      <c r="F79" s="30"/>
      <c r="G79" s="30"/>
      <c r="H79" s="30"/>
      <c r="I79" s="7"/>
      <c r="J79" s="7"/>
      <c r="K79" s="7"/>
      <c r="L79" s="7"/>
      <c r="M79" s="7"/>
      <c r="N79" s="7"/>
      <c r="O79" s="7"/>
      <c r="P79" s="7"/>
      <c r="Q79" s="7"/>
      <c r="R79" s="7"/>
      <c r="S79" s="7"/>
      <c r="T79" s="7"/>
      <c r="U79" s="7"/>
      <c r="V79" s="7"/>
      <c r="W79" s="7"/>
      <c r="X79" s="7"/>
      <c r="Y79" s="7"/>
    </row>
    <row r="80" spans="1:25" ht="15.75" customHeight="1">
      <c r="A80" s="7"/>
      <c r="B80" s="7"/>
      <c r="C80" s="30"/>
      <c r="D80" s="30"/>
      <c r="E80" s="30"/>
      <c r="F80" s="30"/>
      <c r="G80" s="30"/>
      <c r="H80" s="30"/>
      <c r="I80" s="7"/>
      <c r="J80" s="7"/>
      <c r="K80" s="7"/>
      <c r="L80" s="7"/>
      <c r="M80" s="7"/>
      <c r="N80" s="7"/>
      <c r="O80" s="7"/>
      <c r="P80" s="7"/>
      <c r="Q80" s="7"/>
      <c r="R80" s="7"/>
      <c r="S80" s="7"/>
      <c r="T80" s="7"/>
      <c r="U80" s="7"/>
      <c r="V80" s="7"/>
      <c r="W80" s="7"/>
      <c r="X80" s="7"/>
      <c r="Y80" s="7"/>
    </row>
    <row r="81" spans="1:25" ht="15.75" customHeight="1">
      <c r="A81" s="7"/>
      <c r="B81" s="7"/>
      <c r="C81" s="30"/>
      <c r="D81" s="30"/>
      <c r="E81" s="30"/>
      <c r="F81" s="30"/>
      <c r="G81" s="30"/>
      <c r="H81" s="30"/>
      <c r="I81" s="7"/>
      <c r="J81" s="7"/>
      <c r="K81" s="7"/>
      <c r="L81" s="7"/>
      <c r="M81" s="7"/>
      <c r="N81" s="7"/>
      <c r="O81" s="7"/>
      <c r="P81" s="7"/>
      <c r="Q81" s="7"/>
      <c r="R81" s="7"/>
      <c r="S81" s="7"/>
      <c r="T81" s="7"/>
      <c r="U81" s="7"/>
      <c r="V81" s="7"/>
      <c r="W81" s="7"/>
      <c r="X81" s="7"/>
      <c r="Y81" s="7"/>
    </row>
    <row r="82" spans="1:25" ht="15.75" customHeight="1">
      <c r="A82" s="7"/>
      <c r="B82" s="7"/>
      <c r="C82" s="30"/>
      <c r="D82" s="30"/>
      <c r="E82" s="30"/>
      <c r="F82" s="30"/>
      <c r="G82" s="30"/>
      <c r="H82" s="30"/>
      <c r="I82" s="7"/>
      <c r="J82" s="7"/>
      <c r="K82" s="7"/>
      <c r="L82" s="7"/>
      <c r="M82" s="7"/>
      <c r="N82" s="7"/>
      <c r="O82" s="7"/>
      <c r="P82" s="7"/>
      <c r="Q82" s="7"/>
      <c r="R82" s="7"/>
      <c r="S82" s="7"/>
      <c r="T82" s="7"/>
      <c r="U82" s="7"/>
      <c r="V82" s="7"/>
      <c r="W82" s="7"/>
      <c r="X82" s="7"/>
      <c r="Y82" s="7"/>
    </row>
    <row r="83" spans="1:25" ht="15.75" customHeight="1">
      <c r="A83" s="7"/>
      <c r="B83" s="7"/>
      <c r="C83" s="30"/>
      <c r="D83" s="30"/>
      <c r="E83" s="30"/>
      <c r="F83" s="30"/>
      <c r="G83" s="30"/>
      <c r="H83" s="30"/>
      <c r="I83" s="7"/>
      <c r="J83" s="7"/>
      <c r="K83" s="7"/>
      <c r="L83" s="7"/>
      <c r="M83" s="7"/>
      <c r="N83" s="7"/>
      <c r="O83" s="7"/>
      <c r="P83" s="7"/>
      <c r="Q83" s="7"/>
      <c r="R83" s="7"/>
      <c r="S83" s="7"/>
      <c r="T83" s="7"/>
      <c r="U83" s="7"/>
      <c r="V83" s="7"/>
      <c r="W83" s="7"/>
      <c r="X83" s="7"/>
      <c r="Y83" s="7"/>
    </row>
    <row r="84" spans="1:25" ht="15.75" customHeight="1">
      <c r="A84" s="7"/>
      <c r="B84" s="7"/>
      <c r="C84" s="30"/>
      <c r="D84" s="30"/>
      <c r="E84" s="30"/>
      <c r="F84" s="30"/>
      <c r="G84" s="30"/>
      <c r="H84" s="30"/>
      <c r="I84" s="7"/>
      <c r="J84" s="7"/>
      <c r="K84" s="7"/>
      <c r="L84" s="7"/>
      <c r="M84" s="7"/>
      <c r="N84" s="7"/>
      <c r="O84" s="7"/>
      <c r="P84" s="7"/>
      <c r="Q84" s="7"/>
      <c r="R84" s="7"/>
      <c r="S84" s="7"/>
      <c r="T84" s="7"/>
      <c r="U84" s="7"/>
      <c r="V84" s="7"/>
      <c r="W84" s="7"/>
      <c r="X84" s="7"/>
      <c r="Y84" s="7"/>
    </row>
    <row r="85" spans="1:25" ht="15.75" customHeight="1">
      <c r="A85" s="7"/>
      <c r="B85" s="7"/>
      <c r="C85" s="30"/>
      <c r="D85" s="30"/>
      <c r="E85" s="30"/>
      <c r="F85" s="30"/>
      <c r="G85" s="30"/>
      <c r="H85" s="30"/>
      <c r="I85" s="7"/>
      <c r="J85" s="7"/>
      <c r="K85" s="7"/>
      <c r="L85" s="7"/>
      <c r="M85" s="7"/>
      <c r="N85" s="7"/>
      <c r="O85" s="7"/>
      <c r="P85" s="7"/>
      <c r="Q85" s="7"/>
      <c r="R85" s="7"/>
      <c r="S85" s="7"/>
      <c r="T85" s="7"/>
      <c r="U85" s="7"/>
      <c r="V85" s="7"/>
      <c r="W85" s="7"/>
      <c r="X85" s="7"/>
      <c r="Y85" s="7"/>
    </row>
    <row r="86" spans="1:25" ht="15.75" customHeight="1">
      <c r="A86" s="7"/>
      <c r="B86" s="7"/>
      <c r="C86" s="30"/>
      <c r="D86" s="30"/>
      <c r="E86" s="30"/>
      <c r="F86" s="30"/>
      <c r="G86" s="30"/>
      <c r="H86" s="30"/>
      <c r="I86" s="7"/>
      <c r="J86" s="7"/>
      <c r="K86" s="7"/>
      <c r="L86" s="7"/>
      <c r="M86" s="7"/>
      <c r="N86" s="7"/>
      <c r="O86" s="7"/>
      <c r="P86" s="7"/>
      <c r="Q86" s="7"/>
      <c r="R86" s="7"/>
      <c r="S86" s="7"/>
      <c r="T86" s="7"/>
      <c r="U86" s="7"/>
      <c r="V86" s="7"/>
      <c r="W86" s="7"/>
      <c r="X86" s="7"/>
      <c r="Y86" s="7"/>
    </row>
    <row r="87" spans="1:25" ht="15.75" customHeight="1">
      <c r="A87" s="7"/>
      <c r="B87" s="7"/>
      <c r="C87" s="30"/>
      <c r="D87" s="30"/>
      <c r="E87" s="30"/>
      <c r="F87" s="30"/>
      <c r="G87" s="30"/>
      <c r="H87" s="30"/>
      <c r="I87" s="7"/>
      <c r="J87" s="7"/>
      <c r="K87" s="7"/>
      <c r="L87" s="7"/>
      <c r="M87" s="7"/>
      <c r="N87" s="7"/>
      <c r="O87" s="7"/>
      <c r="P87" s="7"/>
      <c r="Q87" s="7"/>
      <c r="R87" s="7"/>
      <c r="S87" s="7"/>
      <c r="T87" s="7"/>
      <c r="U87" s="7"/>
      <c r="V87" s="7"/>
      <c r="W87" s="7"/>
      <c r="X87" s="7"/>
      <c r="Y87" s="7"/>
    </row>
    <row r="88" spans="1:25" ht="15.75" customHeight="1">
      <c r="A88" s="7"/>
      <c r="B88" s="7"/>
      <c r="C88" s="30"/>
      <c r="D88" s="30"/>
      <c r="E88" s="30"/>
      <c r="F88" s="30"/>
      <c r="G88" s="30"/>
      <c r="H88" s="30"/>
      <c r="I88" s="7"/>
      <c r="J88" s="7"/>
      <c r="K88" s="7"/>
      <c r="L88" s="7"/>
      <c r="M88" s="7"/>
      <c r="N88" s="7"/>
      <c r="O88" s="7"/>
      <c r="P88" s="7"/>
      <c r="Q88" s="7"/>
      <c r="R88" s="7"/>
      <c r="S88" s="7"/>
      <c r="T88" s="7"/>
      <c r="U88" s="7"/>
      <c r="V88" s="7"/>
      <c r="W88" s="7"/>
      <c r="X88" s="7"/>
      <c r="Y88" s="7"/>
    </row>
    <row r="89" spans="1:25" ht="15.75" customHeight="1">
      <c r="A89" s="7"/>
      <c r="B89" s="7"/>
      <c r="C89" s="30"/>
      <c r="D89" s="30"/>
      <c r="E89" s="30"/>
      <c r="F89" s="30"/>
      <c r="G89" s="30"/>
      <c r="H89" s="30"/>
      <c r="I89" s="7"/>
      <c r="J89" s="7"/>
      <c r="K89" s="7"/>
      <c r="L89" s="7"/>
      <c r="M89" s="7"/>
      <c r="N89" s="7"/>
      <c r="O89" s="7"/>
      <c r="P89" s="7"/>
      <c r="Q89" s="7"/>
      <c r="R89" s="7"/>
      <c r="S89" s="7"/>
      <c r="T89" s="7"/>
      <c r="U89" s="7"/>
      <c r="V89" s="7"/>
      <c r="W89" s="7"/>
      <c r="X89" s="7"/>
      <c r="Y89" s="7"/>
    </row>
    <row r="90" spans="1:25" ht="15.75" customHeight="1">
      <c r="A90" s="7"/>
      <c r="B90" s="7"/>
      <c r="C90" s="30"/>
      <c r="D90" s="30"/>
      <c r="E90" s="30"/>
      <c r="F90" s="30"/>
      <c r="G90" s="30"/>
      <c r="H90" s="30"/>
      <c r="I90" s="7"/>
      <c r="J90" s="7"/>
      <c r="K90" s="7"/>
      <c r="L90" s="7"/>
      <c r="M90" s="7"/>
      <c r="N90" s="7"/>
      <c r="O90" s="7"/>
      <c r="P90" s="7"/>
      <c r="Q90" s="7"/>
      <c r="R90" s="7"/>
      <c r="S90" s="7"/>
      <c r="T90" s="7"/>
      <c r="U90" s="7"/>
      <c r="V90" s="7"/>
      <c r="W90" s="7"/>
      <c r="X90" s="7"/>
      <c r="Y90" s="7"/>
    </row>
    <row r="91" spans="1:25" ht="15.75" customHeight="1">
      <c r="A91" s="7"/>
      <c r="B91" s="7"/>
      <c r="C91" s="30"/>
      <c r="D91" s="30"/>
      <c r="E91" s="30"/>
      <c r="F91" s="30"/>
      <c r="G91" s="30"/>
      <c r="H91" s="30"/>
      <c r="I91" s="7"/>
      <c r="J91" s="7"/>
      <c r="K91" s="7"/>
      <c r="L91" s="7"/>
      <c r="M91" s="7"/>
      <c r="N91" s="7"/>
      <c r="O91" s="7"/>
      <c r="P91" s="7"/>
      <c r="Q91" s="7"/>
      <c r="R91" s="7"/>
      <c r="S91" s="7"/>
      <c r="T91" s="7"/>
      <c r="U91" s="7"/>
      <c r="V91" s="7"/>
      <c r="W91" s="7"/>
      <c r="X91" s="7"/>
      <c r="Y91" s="7"/>
    </row>
    <row r="92" spans="1:25" ht="15.75" customHeight="1">
      <c r="A92" s="7"/>
      <c r="B92" s="7"/>
      <c r="C92" s="30"/>
      <c r="D92" s="30"/>
      <c r="E92" s="30"/>
      <c r="F92" s="30"/>
      <c r="G92" s="30"/>
      <c r="H92" s="30"/>
      <c r="I92" s="7"/>
      <c r="J92" s="7"/>
      <c r="K92" s="7"/>
      <c r="L92" s="7"/>
      <c r="M92" s="7"/>
      <c r="N92" s="7"/>
      <c r="O92" s="7"/>
      <c r="P92" s="7"/>
      <c r="Q92" s="7"/>
      <c r="R92" s="7"/>
      <c r="S92" s="7"/>
      <c r="T92" s="7"/>
      <c r="U92" s="7"/>
      <c r="V92" s="7"/>
      <c r="W92" s="7"/>
      <c r="X92" s="7"/>
      <c r="Y92" s="7"/>
    </row>
    <row r="93" spans="1:25" ht="15.75" customHeight="1">
      <c r="A93" s="7"/>
      <c r="B93" s="7"/>
      <c r="C93" s="30"/>
      <c r="D93" s="30"/>
      <c r="E93" s="30"/>
      <c r="F93" s="30"/>
      <c r="G93" s="30"/>
      <c r="H93" s="30"/>
      <c r="I93" s="7"/>
      <c r="J93" s="7"/>
      <c r="K93" s="7"/>
      <c r="L93" s="7"/>
      <c r="M93" s="7"/>
      <c r="N93" s="7"/>
      <c r="O93" s="7"/>
      <c r="P93" s="7"/>
      <c r="Q93" s="7"/>
      <c r="R93" s="7"/>
      <c r="S93" s="7"/>
      <c r="T93" s="7"/>
      <c r="U93" s="7"/>
      <c r="V93" s="7"/>
      <c r="W93" s="7"/>
      <c r="X93" s="7"/>
      <c r="Y93" s="7"/>
    </row>
    <row r="94" spans="1:25" ht="15.75" customHeight="1">
      <c r="A94" s="7"/>
      <c r="B94" s="7"/>
      <c r="C94" s="30"/>
      <c r="D94" s="30"/>
      <c r="E94" s="30"/>
      <c r="F94" s="30"/>
      <c r="G94" s="30"/>
      <c r="H94" s="30"/>
      <c r="I94" s="7"/>
      <c r="J94" s="7"/>
      <c r="K94" s="7"/>
      <c r="L94" s="7"/>
      <c r="M94" s="7"/>
      <c r="N94" s="7"/>
      <c r="O94" s="7"/>
      <c r="P94" s="7"/>
      <c r="Q94" s="7"/>
      <c r="R94" s="7"/>
      <c r="S94" s="7"/>
      <c r="T94" s="7"/>
      <c r="U94" s="7"/>
      <c r="V94" s="7"/>
      <c r="W94" s="7"/>
      <c r="X94" s="7"/>
      <c r="Y94" s="7"/>
    </row>
    <row r="95" spans="1:25" ht="15.75" customHeight="1">
      <c r="A95" s="7"/>
      <c r="B95" s="7"/>
      <c r="C95" s="30"/>
      <c r="D95" s="30"/>
      <c r="E95" s="30"/>
      <c r="F95" s="30"/>
      <c r="G95" s="30"/>
      <c r="H95" s="30"/>
      <c r="I95" s="7"/>
      <c r="J95" s="7"/>
      <c r="K95" s="7"/>
      <c r="L95" s="7"/>
      <c r="M95" s="7"/>
      <c r="N95" s="7"/>
      <c r="O95" s="7"/>
      <c r="P95" s="7"/>
      <c r="Q95" s="7"/>
      <c r="R95" s="7"/>
      <c r="S95" s="7"/>
      <c r="T95" s="7"/>
      <c r="U95" s="7"/>
      <c r="V95" s="7"/>
      <c r="W95" s="7"/>
      <c r="X95" s="7"/>
      <c r="Y95" s="7"/>
    </row>
    <row r="96" spans="1:25" ht="15.75" customHeight="1">
      <c r="A96" s="7"/>
      <c r="B96" s="7"/>
      <c r="C96" s="30"/>
      <c r="D96" s="30"/>
      <c r="E96" s="30"/>
      <c r="F96" s="30"/>
      <c r="G96" s="30"/>
      <c r="H96" s="30"/>
      <c r="I96" s="7"/>
      <c r="J96" s="7"/>
      <c r="K96" s="7"/>
      <c r="L96" s="7"/>
      <c r="M96" s="7"/>
      <c r="N96" s="7"/>
      <c r="O96" s="7"/>
      <c r="P96" s="7"/>
      <c r="Q96" s="7"/>
      <c r="R96" s="7"/>
      <c r="S96" s="7"/>
      <c r="T96" s="7"/>
      <c r="U96" s="7"/>
      <c r="V96" s="7"/>
      <c r="W96" s="7"/>
      <c r="X96" s="7"/>
      <c r="Y96" s="7"/>
    </row>
    <row r="97" spans="1:25" ht="15.75" customHeight="1">
      <c r="A97" s="7"/>
      <c r="B97" s="7"/>
      <c r="C97" s="30"/>
      <c r="D97" s="30"/>
      <c r="E97" s="30"/>
      <c r="F97" s="30"/>
      <c r="G97" s="30"/>
      <c r="H97" s="30"/>
      <c r="I97" s="7"/>
      <c r="J97" s="7"/>
      <c r="K97" s="7"/>
      <c r="L97" s="7"/>
      <c r="M97" s="7"/>
      <c r="N97" s="7"/>
      <c r="O97" s="7"/>
      <c r="P97" s="7"/>
      <c r="Q97" s="7"/>
      <c r="R97" s="7"/>
      <c r="S97" s="7"/>
      <c r="T97" s="7"/>
      <c r="U97" s="7"/>
      <c r="V97" s="7"/>
      <c r="W97" s="7"/>
      <c r="X97" s="7"/>
      <c r="Y97" s="7"/>
    </row>
    <row r="98" spans="1:25" ht="15.75" customHeight="1">
      <c r="A98" s="7"/>
      <c r="B98" s="7"/>
      <c r="C98" s="30"/>
      <c r="D98" s="30"/>
      <c r="E98" s="30"/>
      <c r="F98" s="30"/>
      <c r="G98" s="30"/>
      <c r="H98" s="30"/>
      <c r="I98" s="7"/>
      <c r="J98" s="7"/>
      <c r="K98" s="7"/>
      <c r="L98" s="7"/>
      <c r="M98" s="7"/>
      <c r="N98" s="7"/>
      <c r="O98" s="7"/>
      <c r="P98" s="7"/>
      <c r="Q98" s="7"/>
      <c r="R98" s="7"/>
      <c r="S98" s="7"/>
      <c r="T98" s="7"/>
      <c r="U98" s="7"/>
      <c r="V98" s="7"/>
      <c r="W98" s="7"/>
      <c r="X98" s="7"/>
      <c r="Y98" s="7"/>
    </row>
    <row r="99" spans="1:25" ht="15.75" customHeight="1">
      <c r="A99" s="7"/>
      <c r="B99" s="7"/>
      <c r="C99" s="30"/>
      <c r="D99" s="30"/>
      <c r="E99" s="30"/>
      <c r="F99" s="30"/>
      <c r="G99" s="30"/>
      <c r="H99" s="30"/>
      <c r="I99" s="7"/>
      <c r="J99" s="7"/>
      <c r="K99" s="7"/>
      <c r="L99" s="7"/>
      <c r="M99" s="7"/>
      <c r="N99" s="7"/>
      <c r="O99" s="7"/>
      <c r="P99" s="7"/>
      <c r="Q99" s="7"/>
      <c r="R99" s="7"/>
      <c r="S99" s="7"/>
      <c r="T99" s="7"/>
      <c r="U99" s="7"/>
      <c r="V99" s="7"/>
      <c r="W99" s="7"/>
      <c r="X99" s="7"/>
      <c r="Y99" s="7"/>
    </row>
    <row r="100" spans="1:25" ht="15.75" customHeight="1">
      <c r="A100" s="7"/>
      <c r="B100" s="7"/>
      <c r="C100" s="30"/>
      <c r="D100" s="30"/>
      <c r="E100" s="30"/>
      <c r="F100" s="30"/>
      <c r="G100" s="30"/>
      <c r="H100" s="30"/>
      <c r="I100" s="7"/>
      <c r="J100" s="7"/>
      <c r="K100" s="7"/>
      <c r="L100" s="7"/>
      <c r="M100" s="7"/>
      <c r="N100" s="7"/>
      <c r="O100" s="7"/>
      <c r="P100" s="7"/>
      <c r="Q100" s="7"/>
      <c r="R100" s="7"/>
      <c r="S100" s="7"/>
      <c r="T100" s="7"/>
      <c r="U100" s="7"/>
      <c r="V100" s="7"/>
      <c r="W100" s="7"/>
      <c r="X100" s="7"/>
      <c r="Y100" s="7"/>
    </row>
    <row r="101" spans="1:25" ht="15.75" customHeight="1">
      <c r="A101" s="7"/>
      <c r="B101" s="7"/>
      <c r="C101" s="30"/>
      <c r="D101" s="30"/>
      <c r="E101" s="30"/>
      <c r="F101" s="30"/>
      <c r="G101" s="30"/>
      <c r="H101" s="30"/>
      <c r="I101" s="7"/>
      <c r="J101" s="7"/>
      <c r="K101" s="7"/>
      <c r="L101" s="7"/>
      <c r="M101" s="7"/>
      <c r="N101" s="7"/>
      <c r="O101" s="7"/>
      <c r="P101" s="7"/>
      <c r="Q101" s="7"/>
      <c r="R101" s="7"/>
      <c r="S101" s="7"/>
      <c r="T101" s="7"/>
      <c r="U101" s="7"/>
      <c r="V101" s="7"/>
      <c r="W101" s="7"/>
      <c r="X101" s="7"/>
      <c r="Y101" s="7"/>
    </row>
    <row r="102" spans="1:25" ht="15.75" customHeight="1">
      <c r="A102" s="7"/>
      <c r="B102" s="7"/>
      <c r="C102" s="30"/>
      <c r="D102" s="30"/>
      <c r="E102" s="30"/>
      <c r="F102" s="30"/>
      <c r="G102" s="30"/>
      <c r="H102" s="30"/>
      <c r="I102" s="7"/>
      <c r="J102" s="7"/>
      <c r="K102" s="7"/>
      <c r="L102" s="7"/>
      <c r="M102" s="7"/>
      <c r="N102" s="7"/>
      <c r="O102" s="7"/>
      <c r="P102" s="7"/>
      <c r="Q102" s="7"/>
      <c r="R102" s="7"/>
      <c r="S102" s="7"/>
      <c r="T102" s="7"/>
      <c r="U102" s="7"/>
      <c r="V102" s="7"/>
      <c r="W102" s="7"/>
      <c r="X102" s="7"/>
      <c r="Y102" s="7"/>
    </row>
    <row r="103" spans="1:25" ht="15.75" customHeight="1">
      <c r="A103" s="7"/>
      <c r="B103" s="7"/>
      <c r="C103" s="30"/>
      <c r="D103" s="30"/>
      <c r="E103" s="30"/>
      <c r="F103" s="30"/>
      <c r="G103" s="30"/>
      <c r="H103" s="30"/>
      <c r="I103" s="7"/>
      <c r="J103" s="7"/>
      <c r="K103" s="7"/>
      <c r="L103" s="7"/>
      <c r="M103" s="7"/>
      <c r="N103" s="7"/>
      <c r="O103" s="7"/>
      <c r="P103" s="7"/>
      <c r="Q103" s="7"/>
      <c r="R103" s="7"/>
      <c r="S103" s="7"/>
      <c r="T103" s="7"/>
      <c r="U103" s="7"/>
      <c r="V103" s="7"/>
      <c r="W103" s="7"/>
      <c r="X103" s="7"/>
      <c r="Y103" s="7"/>
    </row>
    <row r="104" spans="1:25" ht="15.75" customHeight="1">
      <c r="A104" s="7"/>
      <c r="B104" s="7"/>
      <c r="C104" s="30"/>
      <c r="D104" s="30"/>
      <c r="E104" s="30"/>
      <c r="F104" s="30"/>
      <c r="G104" s="30"/>
      <c r="H104" s="30"/>
      <c r="I104" s="7"/>
      <c r="J104" s="7"/>
      <c r="K104" s="7"/>
      <c r="L104" s="7"/>
      <c r="M104" s="7"/>
      <c r="N104" s="7"/>
      <c r="O104" s="7"/>
      <c r="P104" s="7"/>
      <c r="Q104" s="7"/>
      <c r="R104" s="7"/>
      <c r="S104" s="7"/>
      <c r="T104" s="7"/>
      <c r="U104" s="7"/>
      <c r="V104" s="7"/>
      <c r="W104" s="7"/>
      <c r="X104" s="7"/>
      <c r="Y104" s="7"/>
    </row>
    <row r="105" spans="1:25" ht="15.75" customHeight="1">
      <c r="A105" s="7"/>
      <c r="B105" s="7"/>
      <c r="C105" s="30"/>
      <c r="D105" s="30"/>
      <c r="E105" s="30"/>
      <c r="F105" s="30"/>
      <c r="G105" s="30"/>
      <c r="H105" s="30"/>
      <c r="I105" s="7"/>
      <c r="J105" s="7"/>
      <c r="K105" s="7"/>
      <c r="L105" s="7"/>
      <c r="M105" s="7"/>
      <c r="N105" s="7"/>
      <c r="O105" s="7"/>
      <c r="P105" s="7"/>
      <c r="Q105" s="7"/>
      <c r="R105" s="7"/>
      <c r="S105" s="7"/>
      <c r="T105" s="7"/>
      <c r="U105" s="7"/>
      <c r="V105" s="7"/>
      <c r="W105" s="7"/>
      <c r="X105" s="7"/>
      <c r="Y105" s="7"/>
    </row>
    <row r="106" spans="1:25" ht="15.75" customHeight="1">
      <c r="A106" s="7"/>
      <c r="B106" s="7"/>
      <c r="C106" s="30"/>
      <c r="D106" s="30"/>
      <c r="E106" s="30"/>
      <c r="F106" s="30"/>
      <c r="G106" s="30"/>
      <c r="H106" s="30"/>
      <c r="I106" s="7"/>
      <c r="J106" s="7"/>
      <c r="K106" s="7"/>
      <c r="L106" s="7"/>
      <c r="M106" s="7"/>
      <c r="N106" s="7"/>
      <c r="O106" s="7"/>
      <c r="P106" s="7"/>
      <c r="Q106" s="7"/>
      <c r="R106" s="7"/>
      <c r="S106" s="7"/>
      <c r="T106" s="7"/>
      <c r="U106" s="7"/>
      <c r="V106" s="7"/>
      <c r="W106" s="7"/>
      <c r="X106" s="7"/>
      <c r="Y106" s="7"/>
    </row>
    <row r="107" spans="1:25" ht="15.75" customHeight="1">
      <c r="A107" s="7"/>
      <c r="B107" s="7"/>
      <c r="C107" s="30"/>
      <c r="D107" s="30"/>
      <c r="E107" s="30"/>
      <c r="F107" s="30"/>
      <c r="G107" s="30"/>
      <c r="H107" s="30"/>
      <c r="I107" s="7"/>
      <c r="J107" s="7"/>
      <c r="K107" s="7"/>
      <c r="L107" s="7"/>
      <c r="M107" s="7"/>
      <c r="N107" s="7"/>
      <c r="O107" s="7"/>
      <c r="P107" s="7"/>
      <c r="Q107" s="7"/>
      <c r="R107" s="7"/>
      <c r="S107" s="7"/>
      <c r="T107" s="7"/>
      <c r="U107" s="7"/>
      <c r="V107" s="7"/>
      <c r="W107" s="7"/>
      <c r="X107" s="7"/>
      <c r="Y107" s="7"/>
    </row>
    <row r="108" spans="1:25" ht="15.75" customHeight="1">
      <c r="A108" s="7"/>
      <c r="B108" s="7"/>
      <c r="C108" s="30"/>
      <c r="D108" s="30"/>
      <c r="E108" s="30"/>
      <c r="F108" s="30"/>
      <c r="G108" s="30"/>
      <c r="H108" s="30"/>
      <c r="I108" s="7"/>
      <c r="J108" s="7"/>
      <c r="K108" s="7"/>
      <c r="L108" s="7"/>
      <c r="M108" s="7"/>
      <c r="N108" s="7"/>
      <c r="O108" s="7"/>
      <c r="P108" s="7"/>
      <c r="Q108" s="7"/>
      <c r="R108" s="7"/>
      <c r="S108" s="7"/>
      <c r="T108" s="7"/>
      <c r="U108" s="7"/>
      <c r="V108" s="7"/>
      <c r="W108" s="7"/>
      <c r="X108" s="7"/>
      <c r="Y108" s="7"/>
    </row>
    <row r="109" spans="1:25" ht="15.75" customHeight="1">
      <c r="A109" s="7"/>
      <c r="B109" s="7"/>
      <c r="C109" s="30"/>
      <c r="D109" s="30"/>
      <c r="E109" s="30"/>
      <c r="F109" s="30"/>
      <c r="G109" s="30"/>
      <c r="H109" s="30"/>
      <c r="I109" s="7"/>
      <c r="J109" s="7"/>
      <c r="K109" s="7"/>
      <c r="L109" s="7"/>
      <c r="M109" s="7"/>
      <c r="N109" s="7"/>
      <c r="O109" s="7"/>
      <c r="P109" s="7"/>
      <c r="Q109" s="7"/>
      <c r="R109" s="7"/>
      <c r="S109" s="7"/>
      <c r="T109" s="7"/>
      <c r="U109" s="7"/>
      <c r="V109" s="7"/>
      <c r="W109" s="7"/>
      <c r="X109" s="7"/>
      <c r="Y109" s="7"/>
    </row>
    <row r="110" spans="1:25" ht="15.75" customHeight="1">
      <c r="A110" s="7"/>
      <c r="B110" s="7"/>
      <c r="C110" s="30"/>
      <c r="D110" s="30"/>
      <c r="E110" s="30"/>
      <c r="F110" s="30"/>
      <c r="G110" s="30"/>
      <c r="H110" s="30"/>
      <c r="I110" s="7"/>
      <c r="J110" s="7"/>
      <c r="K110" s="7"/>
      <c r="L110" s="7"/>
      <c r="M110" s="7"/>
      <c r="N110" s="7"/>
      <c r="O110" s="7"/>
      <c r="P110" s="7"/>
      <c r="Q110" s="7"/>
      <c r="R110" s="7"/>
      <c r="S110" s="7"/>
      <c r="T110" s="7"/>
      <c r="U110" s="7"/>
      <c r="V110" s="7"/>
      <c r="W110" s="7"/>
      <c r="X110" s="7"/>
      <c r="Y110" s="7"/>
    </row>
    <row r="111" spans="1:25" ht="15.75" customHeight="1">
      <c r="A111" s="7"/>
      <c r="B111" s="7"/>
      <c r="C111" s="30"/>
      <c r="D111" s="30"/>
      <c r="E111" s="30"/>
      <c r="F111" s="30"/>
      <c r="G111" s="30"/>
      <c r="H111" s="30"/>
      <c r="I111" s="7"/>
      <c r="J111" s="7"/>
      <c r="K111" s="7"/>
      <c r="L111" s="7"/>
      <c r="M111" s="7"/>
      <c r="N111" s="7"/>
      <c r="O111" s="7"/>
      <c r="P111" s="7"/>
      <c r="Q111" s="7"/>
      <c r="R111" s="7"/>
      <c r="S111" s="7"/>
      <c r="T111" s="7"/>
      <c r="U111" s="7"/>
      <c r="V111" s="7"/>
      <c r="W111" s="7"/>
      <c r="X111" s="7"/>
      <c r="Y111" s="7"/>
    </row>
    <row r="112" spans="1:25" ht="15.75" customHeight="1">
      <c r="A112" s="7"/>
      <c r="B112" s="7"/>
      <c r="C112" s="30"/>
      <c r="D112" s="30"/>
      <c r="E112" s="30"/>
      <c r="F112" s="30"/>
      <c r="G112" s="30"/>
      <c r="H112" s="30"/>
      <c r="I112" s="7"/>
      <c r="J112" s="7"/>
      <c r="K112" s="7"/>
      <c r="L112" s="7"/>
      <c r="M112" s="7"/>
      <c r="N112" s="7"/>
      <c r="O112" s="7"/>
      <c r="P112" s="7"/>
      <c r="Q112" s="7"/>
      <c r="R112" s="7"/>
      <c r="S112" s="7"/>
      <c r="T112" s="7"/>
      <c r="U112" s="7"/>
      <c r="V112" s="7"/>
      <c r="W112" s="7"/>
      <c r="X112" s="7"/>
      <c r="Y112" s="7"/>
    </row>
    <row r="113" spans="1:25" ht="15.75" customHeight="1">
      <c r="A113" s="7"/>
      <c r="B113" s="7"/>
      <c r="C113" s="30"/>
      <c r="D113" s="30"/>
      <c r="E113" s="30"/>
      <c r="F113" s="30"/>
      <c r="G113" s="30"/>
      <c r="H113" s="30"/>
      <c r="I113" s="7"/>
      <c r="J113" s="7"/>
      <c r="K113" s="7"/>
      <c r="L113" s="7"/>
      <c r="M113" s="7"/>
      <c r="N113" s="7"/>
      <c r="O113" s="7"/>
      <c r="P113" s="7"/>
      <c r="Q113" s="7"/>
      <c r="R113" s="7"/>
      <c r="S113" s="7"/>
      <c r="T113" s="7"/>
      <c r="U113" s="7"/>
      <c r="V113" s="7"/>
      <c r="W113" s="7"/>
      <c r="X113" s="7"/>
      <c r="Y113" s="7"/>
    </row>
    <row r="114" spans="1:25" ht="15.75" customHeight="1">
      <c r="A114" s="7"/>
      <c r="B114" s="7"/>
      <c r="C114" s="30"/>
      <c r="D114" s="30"/>
      <c r="E114" s="30"/>
      <c r="F114" s="30"/>
      <c r="G114" s="30"/>
      <c r="H114" s="30"/>
      <c r="I114" s="7"/>
      <c r="J114" s="7"/>
      <c r="K114" s="7"/>
      <c r="L114" s="7"/>
      <c r="M114" s="7"/>
      <c r="N114" s="7"/>
      <c r="O114" s="7"/>
      <c r="P114" s="7"/>
      <c r="Q114" s="7"/>
      <c r="R114" s="7"/>
      <c r="S114" s="7"/>
      <c r="T114" s="7"/>
      <c r="U114" s="7"/>
      <c r="V114" s="7"/>
      <c r="W114" s="7"/>
      <c r="X114" s="7"/>
      <c r="Y114" s="7"/>
    </row>
    <row r="115" spans="1:25" ht="15.75" customHeight="1">
      <c r="A115" s="7"/>
      <c r="B115" s="7"/>
      <c r="C115" s="30"/>
      <c r="D115" s="30"/>
      <c r="E115" s="30"/>
      <c r="F115" s="30"/>
      <c r="G115" s="30"/>
      <c r="H115" s="30"/>
      <c r="I115" s="7"/>
      <c r="J115" s="7"/>
      <c r="K115" s="7"/>
      <c r="L115" s="7"/>
      <c r="M115" s="7"/>
      <c r="N115" s="7"/>
      <c r="O115" s="7"/>
      <c r="P115" s="7"/>
      <c r="Q115" s="7"/>
      <c r="R115" s="7"/>
      <c r="S115" s="7"/>
      <c r="T115" s="7"/>
      <c r="U115" s="7"/>
      <c r="V115" s="7"/>
      <c r="W115" s="7"/>
      <c r="X115" s="7"/>
      <c r="Y115" s="7"/>
    </row>
    <row r="116" spans="1:25" ht="15.75" customHeight="1">
      <c r="A116" s="7"/>
      <c r="B116" s="7"/>
      <c r="C116" s="30"/>
      <c r="D116" s="30"/>
      <c r="E116" s="30"/>
      <c r="F116" s="30"/>
      <c r="G116" s="30"/>
      <c r="H116" s="30"/>
      <c r="I116" s="7"/>
      <c r="J116" s="7"/>
      <c r="K116" s="7"/>
      <c r="L116" s="7"/>
      <c r="M116" s="7"/>
      <c r="N116" s="7"/>
      <c r="O116" s="7"/>
      <c r="P116" s="7"/>
      <c r="Q116" s="7"/>
      <c r="R116" s="7"/>
      <c r="S116" s="7"/>
      <c r="T116" s="7"/>
      <c r="U116" s="7"/>
      <c r="V116" s="7"/>
      <c r="W116" s="7"/>
      <c r="X116" s="7"/>
      <c r="Y116" s="7"/>
    </row>
    <row r="117" spans="1:25" ht="15.75" customHeight="1">
      <c r="A117" s="7"/>
      <c r="B117" s="7"/>
      <c r="C117" s="30"/>
      <c r="D117" s="30"/>
      <c r="E117" s="30"/>
      <c r="F117" s="30"/>
      <c r="G117" s="30"/>
      <c r="H117" s="30"/>
      <c r="I117" s="7"/>
      <c r="J117" s="7"/>
      <c r="K117" s="7"/>
      <c r="L117" s="7"/>
      <c r="M117" s="7"/>
      <c r="N117" s="7"/>
      <c r="O117" s="7"/>
      <c r="P117" s="7"/>
      <c r="Q117" s="7"/>
      <c r="R117" s="7"/>
      <c r="S117" s="7"/>
      <c r="T117" s="7"/>
      <c r="U117" s="7"/>
      <c r="V117" s="7"/>
      <c r="W117" s="7"/>
      <c r="X117" s="7"/>
      <c r="Y117" s="7"/>
    </row>
    <row r="118" spans="1:25" ht="15.75" customHeight="1">
      <c r="A118" s="7"/>
      <c r="B118" s="7"/>
      <c r="C118" s="30"/>
      <c r="D118" s="30"/>
      <c r="E118" s="30"/>
      <c r="F118" s="30"/>
      <c r="G118" s="30"/>
      <c r="H118" s="30"/>
      <c r="I118" s="7"/>
      <c r="J118" s="7"/>
      <c r="K118" s="7"/>
      <c r="L118" s="7"/>
      <c r="M118" s="7"/>
      <c r="N118" s="7"/>
      <c r="O118" s="7"/>
      <c r="P118" s="7"/>
      <c r="Q118" s="7"/>
      <c r="R118" s="7"/>
      <c r="S118" s="7"/>
      <c r="T118" s="7"/>
      <c r="U118" s="7"/>
      <c r="V118" s="7"/>
      <c r="W118" s="7"/>
      <c r="X118" s="7"/>
      <c r="Y118" s="7"/>
    </row>
    <row r="119" spans="1:25" ht="15.75" customHeight="1">
      <c r="A119" s="7"/>
      <c r="B119" s="7"/>
      <c r="C119" s="30"/>
      <c r="D119" s="30"/>
      <c r="E119" s="30"/>
      <c r="F119" s="30"/>
      <c r="G119" s="30"/>
      <c r="H119" s="30"/>
      <c r="I119" s="7"/>
      <c r="J119" s="7"/>
      <c r="K119" s="7"/>
      <c r="L119" s="7"/>
      <c r="M119" s="7"/>
      <c r="N119" s="7"/>
      <c r="O119" s="7"/>
      <c r="P119" s="7"/>
      <c r="Q119" s="7"/>
      <c r="R119" s="7"/>
      <c r="S119" s="7"/>
      <c r="T119" s="7"/>
      <c r="U119" s="7"/>
      <c r="V119" s="7"/>
      <c r="W119" s="7"/>
      <c r="X119" s="7"/>
      <c r="Y119" s="7"/>
    </row>
    <row r="120" spans="1:25" ht="15.75" customHeight="1">
      <c r="A120" s="7"/>
      <c r="B120" s="7"/>
      <c r="C120" s="30"/>
      <c r="D120" s="30"/>
      <c r="E120" s="30"/>
      <c r="F120" s="30"/>
      <c r="G120" s="30"/>
      <c r="H120" s="30"/>
      <c r="I120" s="7"/>
      <c r="J120" s="7"/>
      <c r="K120" s="7"/>
      <c r="L120" s="7"/>
      <c r="M120" s="7"/>
      <c r="N120" s="7"/>
      <c r="O120" s="7"/>
      <c r="P120" s="7"/>
      <c r="Q120" s="7"/>
      <c r="R120" s="7"/>
      <c r="S120" s="7"/>
      <c r="T120" s="7"/>
      <c r="U120" s="7"/>
      <c r="V120" s="7"/>
      <c r="W120" s="7"/>
      <c r="X120" s="7"/>
      <c r="Y120" s="7"/>
    </row>
    <row r="121" spans="1:25" ht="15.75" customHeight="1">
      <c r="A121" s="7"/>
      <c r="B121" s="7"/>
      <c r="C121" s="30"/>
      <c r="D121" s="30"/>
      <c r="E121" s="30"/>
      <c r="F121" s="30"/>
      <c r="G121" s="30"/>
      <c r="H121" s="30"/>
      <c r="I121" s="7"/>
      <c r="J121" s="7"/>
      <c r="K121" s="7"/>
      <c r="L121" s="7"/>
      <c r="M121" s="7"/>
      <c r="N121" s="7"/>
      <c r="O121" s="7"/>
      <c r="P121" s="7"/>
      <c r="Q121" s="7"/>
      <c r="R121" s="7"/>
      <c r="S121" s="7"/>
      <c r="T121" s="7"/>
      <c r="U121" s="7"/>
      <c r="V121" s="7"/>
      <c r="W121" s="7"/>
      <c r="X121" s="7"/>
      <c r="Y121" s="7"/>
    </row>
    <row r="122" spans="1:25" ht="15.75" customHeight="1">
      <c r="A122" s="7"/>
      <c r="B122" s="7"/>
      <c r="C122" s="30"/>
      <c r="D122" s="30"/>
      <c r="E122" s="30"/>
      <c r="F122" s="30"/>
      <c r="G122" s="30"/>
      <c r="H122" s="30"/>
      <c r="I122" s="7"/>
      <c r="J122" s="7"/>
      <c r="K122" s="7"/>
      <c r="L122" s="7"/>
      <c r="M122" s="7"/>
      <c r="N122" s="7"/>
      <c r="O122" s="7"/>
      <c r="P122" s="7"/>
      <c r="Q122" s="7"/>
      <c r="R122" s="7"/>
      <c r="S122" s="7"/>
      <c r="T122" s="7"/>
      <c r="U122" s="7"/>
      <c r="V122" s="7"/>
      <c r="W122" s="7"/>
      <c r="X122" s="7"/>
      <c r="Y122" s="7"/>
    </row>
    <row r="123" spans="1:25" ht="15.75" customHeight="1">
      <c r="A123" s="7"/>
      <c r="B123" s="7"/>
      <c r="C123" s="30"/>
      <c r="D123" s="30"/>
      <c r="E123" s="30"/>
      <c r="F123" s="30"/>
      <c r="G123" s="30"/>
      <c r="H123" s="30"/>
      <c r="I123" s="7"/>
      <c r="J123" s="7"/>
      <c r="K123" s="7"/>
      <c r="L123" s="7"/>
      <c r="M123" s="7"/>
      <c r="N123" s="7"/>
      <c r="O123" s="7"/>
      <c r="P123" s="7"/>
      <c r="Q123" s="7"/>
      <c r="R123" s="7"/>
      <c r="S123" s="7"/>
      <c r="T123" s="7"/>
      <c r="U123" s="7"/>
      <c r="V123" s="7"/>
      <c r="W123" s="7"/>
      <c r="X123" s="7"/>
      <c r="Y123" s="7"/>
    </row>
    <row r="124" spans="1:25" ht="15.75" customHeight="1">
      <c r="A124" s="7"/>
      <c r="B124" s="7"/>
      <c r="C124" s="30"/>
      <c r="D124" s="30"/>
      <c r="E124" s="30"/>
      <c r="F124" s="30"/>
      <c r="G124" s="30"/>
      <c r="H124" s="30"/>
      <c r="I124" s="7"/>
      <c r="J124" s="7"/>
      <c r="K124" s="7"/>
      <c r="L124" s="7"/>
      <c r="M124" s="7"/>
      <c r="N124" s="7"/>
      <c r="O124" s="7"/>
      <c r="P124" s="7"/>
      <c r="Q124" s="7"/>
      <c r="R124" s="7"/>
      <c r="S124" s="7"/>
      <c r="T124" s="7"/>
      <c r="U124" s="7"/>
      <c r="V124" s="7"/>
      <c r="W124" s="7"/>
      <c r="X124" s="7"/>
      <c r="Y124" s="7"/>
    </row>
    <row r="125" spans="1:25" ht="15.75" customHeight="1">
      <c r="A125" s="7"/>
      <c r="B125" s="7"/>
      <c r="C125" s="30"/>
      <c r="D125" s="30"/>
      <c r="E125" s="30"/>
      <c r="F125" s="30"/>
      <c r="G125" s="30"/>
      <c r="H125" s="30"/>
      <c r="I125" s="7"/>
      <c r="J125" s="7"/>
      <c r="K125" s="7"/>
      <c r="L125" s="7"/>
      <c r="M125" s="7"/>
      <c r="N125" s="7"/>
      <c r="O125" s="7"/>
      <c r="P125" s="7"/>
      <c r="Q125" s="7"/>
      <c r="R125" s="7"/>
      <c r="S125" s="7"/>
      <c r="T125" s="7"/>
      <c r="U125" s="7"/>
      <c r="V125" s="7"/>
      <c r="W125" s="7"/>
      <c r="X125" s="7"/>
      <c r="Y125" s="7"/>
    </row>
    <row r="126" spans="1:25" ht="15.75" customHeight="1">
      <c r="A126" s="7"/>
      <c r="B126" s="7"/>
      <c r="C126" s="30"/>
      <c r="D126" s="30"/>
      <c r="E126" s="30"/>
      <c r="F126" s="30"/>
      <c r="G126" s="30"/>
      <c r="H126" s="30"/>
      <c r="I126" s="7"/>
      <c r="J126" s="7"/>
      <c r="K126" s="7"/>
      <c r="L126" s="7"/>
      <c r="M126" s="7"/>
      <c r="N126" s="7"/>
      <c r="O126" s="7"/>
      <c r="P126" s="7"/>
      <c r="Q126" s="7"/>
      <c r="R126" s="7"/>
      <c r="S126" s="7"/>
      <c r="T126" s="7"/>
      <c r="U126" s="7"/>
      <c r="V126" s="7"/>
      <c r="W126" s="7"/>
      <c r="X126" s="7"/>
      <c r="Y126" s="7"/>
    </row>
    <row r="127" spans="1:25" ht="15.75" customHeight="1">
      <c r="A127" s="7"/>
      <c r="B127" s="7"/>
      <c r="C127" s="30"/>
      <c r="D127" s="30"/>
      <c r="E127" s="30"/>
      <c r="F127" s="30"/>
      <c r="G127" s="30"/>
      <c r="H127" s="30"/>
      <c r="I127" s="7"/>
      <c r="J127" s="7"/>
      <c r="K127" s="7"/>
      <c r="L127" s="7"/>
      <c r="M127" s="7"/>
      <c r="N127" s="7"/>
      <c r="O127" s="7"/>
      <c r="P127" s="7"/>
      <c r="Q127" s="7"/>
      <c r="R127" s="7"/>
      <c r="S127" s="7"/>
      <c r="T127" s="7"/>
      <c r="U127" s="7"/>
      <c r="V127" s="7"/>
      <c r="W127" s="7"/>
      <c r="X127" s="7"/>
      <c r="Y127" s="7"/>
    </row>
    <row r="128" spans="1:25" ht="15.75" customHeight="1">
      <c r="A128" s="7"/>
      <c r="B128" s="7"/>
      <c r="C128" s="30"/>
      <c r="D128" s="30"/>
      <c r="E128" s="30"/>
      <c r="F128" s="30"/>
      <c r="G128" s="30"/>
      <c r="H128" s="30"/>
      <c r="I128" s="7"/>
      <c r="J128" s="7"/>
      <c r="K128" s="7"/>
      <c r="L128" s="7"/>
      <c r="M128" s="7"/>
      <c r="N128" s="7"/>
      <c r="O128" s="7"/>
      <c r="P128" s="7"/>
      <c r="Q128" s="7"/>
      <c r="R128" s="7"/>
      <c r="S128" s="7"/>
      <c r="T128" s="7"/>
      <c r="U128" s="7"/>
      <c r="V128" s="7"/>
      <c r="W128" s="7"/>
      <c r="X128" s="7"/>
      <c r="Y128" s="7"/>
    </row>
    <row r="129" spans="1:25" ht="15.75" customHeight="1">
      <c r="A129" s="7"/>
      <c r="B129" s="7"/>
      <c r="C129" s="30"/>
      <c r="D129" s="30"/>
      <c r="E129" s="30"/>
      <c r="F129" s="30"/>
      <c r="G129" s="30"/>
      <c r="H129" s="30"/>
      <c r="I129" s="7"/>
      <c r="J129" s="7"/>
      <c r="K129" s="7"/>
      <c r="L129" s="7"/>
      <c r="M129" s="7"/>
      <c r="N129" s="7"/>
      <c r="O129" s="7"/>
      <c r="P129" s="7"/>
      <c r="Q129" s="7"/>
      <c r="R129" s="7"/>
      <c r="S129" s="7"/>
      <c r="T129" s="7"/>
      <c r="U129" s="7"/>
      <c r="V129" s="7"/>
      <c r="W129" s="7"/>
      <c r="X129" s="7"/>
      <c r="Y129" s="7"/>
    </row>
    <row r="130" spans="1:25" ht="15.75" customHeight="1">
      <c r="A130" s="7"/>
      <c r="B130" s="7"/>
      <c r="C130" s="30"/>
      <c r="D130" s="30"/>
      <c r="E130" s="30"/>
      <c r="F130" s="30"/>
      <c r="G130" s="30"/>
      <c r="H130" s="30"/>
      <c r="I130" s="7"/>
      <c r="J130" s="7"/>
      <c r="K130" s="7"/>
      <c r="L130" s="7"/>
      <c r="M130" s="7"/>
      <c r="N130" s="7"/>
      <c r="O130" s="7"/>
      <c r="P130" s="7"/>
      <c r="Q130" s="7"/>
      <c r="R130" s="7"/>
      <c r="S130" s="7"/>
      <c r="T130" s="7"/>
      <c r="U130" s="7"/>
      <c r="V130" s="7"/>
      <c r="W130" s="7"/>
      <c r="X130" s="7"/>
      <c r="Y130" s="7"/>
    </row>
    <row r="131" spans="1:25" ht="15.75" customHeight="1">
      <c r="A131" s="7"/>
      <c r="B131" s="7"/>
      <c r="C131" s="30"/>
      <c r="D131" s="30"/>
      <c r="E131" s="30"/>
      <c r="F131" s="30"/>
      <c r="G131" s="30"/>
      <c r="H131" s="30"/>
      <c r="I131" s="7"/>
      <c r="J131" s="7"/>
      <c r="K131" s="7"/>
      <c r="L131" s="7"/>
      <c r="M131" s="7"/>
      <c r="N131" s="7"/>
      <c r="O131" s="7"/>
      <c r="P131" s="7"/>
      <c r="Q131" s="7"/>
      <c r="R131" s="7"/>
      <c r="S131" s="7"/>
      <c r="T131" s="7"/>
      <c r="U131" s="7"/>
      <c r="V131" s="7"/>
      <c r="W131" s="7"/>
      <c r="X131" s="7"/>
      <c r="Y131" s="7"/>
    </row>
    <row r="132" spans="1:25" ht="15.75" customHeight="1">
      <c r="A132" s="7"/>
      <c r="B132" s="7"/>
      <c r="C132" s="30"/>
      <c r="D132" s="30"/>
      <c r="E132" s="30"/>
      <c r="F132" s="30"/>
      <c r="G132" s="30"/>
      <c r="H132" s="30"/>
      <c r="I132" s="7"/>
      <c r="J132" s="7"/>
      <c r="K132" s="7"/>
      <c r="L132" s="7"/>
      <c r="M132" s="7"/>
      <c r="N132" s="7"/>
      <c r="O132" s="7"/>
      <c r="P132" s="7"/>
      <c r="Q132" s="7"/>
      <c r="R132" s="7"/>
      <c r="S132" s="7"/>
      <c r="T132" s="7"/>
      <c r="U132" s="7"/>
      <c r="V132" s="7"/>
      <c r="W132" s="7"/>
      <c r="X132" s="7"/>
      <c r="Y132" s="7"/>
    </row>
    <row r="133" spans="1:25" ht="15.75" customHeight="1">
      <c r="A133" s="7"/>
      <c r="B133" s="7"/>
      <c r="C133" s="30"/>
      <c r="D133" s="30"/>
      <c r="E133" s="30"/>
      <c r="F133" s="30"/>
      <c r="G133" s="30"/>
      <c r="H133" s="30"/>
      <c r="I133" s="7"/>
      <c r="J133" s="7"/>
      <c r="K133" s="7"/>
      <c r="L133" s="7"/>
      <c r="M133" s="7"/>
      <c r="N133" s="7"/>
      <c r="O133" s="7"/>
      <c r="P133" s="7"/>
      <c r="Q133" s="7"/>
      <c r="R133" s="7"/>
      <c r="S133" s="7"/>
      <c r="T133" s="7"/>
      <c r="U133" s="7"/>
      <c r="V133" s="7"/>
      <c r="W133" s="7"/>
      <c r="X133" s="7"/>
      <c r="Y133" s="7"/>
    </row>
    <row r="134" spans="1:25" ht="15.75" customHeight="1">
      <c r="A134" s="7"/>
      <c r="B134" s="7"/>
      <c r="C134" s="30"/>
      <c r="D134" s="30"/>
      <c r="E134" s="30"/>
      <c r="F134" s="30"/>
      <c r="G134" s="30"/>
      <c r="H134" s="30"/>
      <c r="I134" s="7"/>
      <c r="J134" s="7"/>
      <c r="K134" s="7"/>
      <c r="L134" s="7"/>
      <c r="M134" s="7"/>
      <c r="N134" s="7"/>
      <c r="O134" s="7"/>
      <c r="P134" s="7"/>
      <c r="Q134" s="7"/>
      <c r="R134" s="7"/>
      <c r="S134" s="7"/>
      <c r="T134" s="7"/>
      <c r="U134" s="7"/>
      <c r="V134" s="7"/>
      <c r="W134" s="7"/>
      <c r="X134" s="7"/>
      <c r="Y134" s="7"/>
    </row>
    <row r="135" spans="1:25" ht="15.75" customHeight="1">
      <c r="A135" s="7"/>
      <c r="B135" s="7"/>
      <c r="C135" s="30"/>
      <c r="D135" s="30"/>
      <c r="E135" s="30"/>
      <c r="F135" s="30"/>
      <c r="G135" s="30"/>
      <c r="H135" s="30"/>
      <c r="I135" s="7"/>
      <c r="J135" s="7"/>
      <c r="K135" s="7"/>
      <c r="L135" s="7"/>
      <c r="M135" s="7"/>
      <c r="N135" s="7"/>
      <c r="O135" s="7"/>
      <c r="P135" s="7"/>
      <c r="Q135" s="7"/>
      <c r="R135" s="7"/>
      <c r="S135" s="7"/>
      <c r="T135" s="7"/>
      <c r="U135" s="7"/>
      <c r="V135" s="7"/>
      <c r="W135" s="7"/>
      <c r="X135" s="7"/>
      <c r="Y135" s="7"/>
    </row>
    <row r="136" spans="1:25" ht="15.75" customHeight="1">
      <c r="A136" s="7"/>
      <c r="B136" s="7"/>
      <c r="C136" s="30"/>
      <c r="D136" s="30"/>
      <c r="E136" s="30"/>
      <c r="F136" s="30"/>
      <c r="G136" s="30"/>
      <c r="H136" s="30"/>
      <c r="I136" s="7"/>
      <c r="J136" s="7"/>
      <c r="K136" s="7"/>
      <c r="L136" s="7"/>
      <c r="M136" s="7"/>
      <c r="N136" s="7"/>
      <c r="O136" s="7"/>
      <c r="P136" s="7"/>
      <c r="Q136" s="7"/>
      <c r="R136" s="7"/>
      <c r="S136" s="7"/>
      <c r="T136" s="7"/>
      <c r="U136" s="7"/>
      <c r="V136" s="7"/>
      <c r="W136" s="7"/>
      <c r="X136" s="7"/>
      <c r="Y136" s="7"/>
    </row>
    <row r="137" spans="1:25" ht="15.75" customHeight="1">
      <c r="A137" s="7"/>
      <c r="B137" s="7"/>
      <c r="C137" s="30"/>
      <c r="D137" s="30"/>
      <c r="E137" s="30"/>
      <c r="F137" s="30"/>
      <c r="G137" s="30"/>
      <c r="H137" s="30"/>
      <c r="I137" s="7"/>
      <c r="J137" s="7"/>
      <c r="K137" s="7"/>
      <c r="L137" s="7"/>
      <c r="M137" s="7"/>
      <c r="N137" s="7"/>
      <c r="O137" s="7"/>
      <c r="P137" s="7"/>
      <c r="Q137" s="7"/>
      <c r="R137" s="7"/>
      <c r="S137" s="7"/>
      <c r="T137" s="7"/>
      <c r="U137" s="7"/>
      <c r="V137" s="7"/>
      <c r="W137" s="7"/>
      <c r="X137" s="7"/>
      <c r="Y137" s="7"/>
    </row>
    <row r="138" spans="1:25" ht="15.75" customHeight="1">
      <c r="A138" s="7"/>
      <c r="B138" s="7"/>
      <c r="C138" s="30"/>
      <c r="D138" s="30"/>
      <c r="E138" s="30"/>
      <c r="F138" s="30"/>
      <c r="G138" s="30"/>
      <c r="H138" s="30"/>
      <c r="I138" s="7"/>
      <c r="J138" s="7"/>
      <c r="K138" s="7"/>
      <c r="L138" s="7"/>
      <c r="M138" s="7"/>
      <c r="N138" s="7"/>
      <c r="O138" s="7"/>
      <c r="P138" s="7"/>
      <c r="Q138" s="7"/>
      <c r="R138" s="7"/>
      <c r="S138" s="7"/>
      <c r="T138" s="7"/>
      <c r="U138" s="7"/>
      <c r="V138" s="7"/>
      <c r="W138" s="7"/>
      <c r="X138" s="7"/>
      <c r="Y138" s="7"/>
    </row>
    <row r="139" spans="1:25" ht="15.75" customHeight="1">
      <c r="A139" s="7"/>
      <c r="B139" s="7"/>
      <c r="C139" s="30"/>
      <c r="D139" s="30"/>
      <c r="E139" s="30"/>
      <c r="F139" s="30"/>
      <c r="G139" s="30"/>
      <c r="H139" s="30"/>
      <c r="I139" s="7"/>
      <c r="J139" s="7"/>
      <c r="K139" s="7"/>
      <c r="L139" s="7"/>
      <c r="M139" s="7"/>
      <c r="N139" s="7"/>
      <c r="O139" s="7"/>
      <c r="P139" s="7"/>
      <c r="Q139" s="7"/>
      <c r="R139" s="7"/>
      <c r="S139" s="7"/>
      <c r="T139" s="7"/>
      <c r="U139" s="7"/>
      <c r="V139" s="7"/>
      <c r="W139" s="7"/>
      <c r="X139" s="7"/>
      <c r="Y139" s="7"/>
    </row>
    <row r="140" spans="1:25" ht="15.75" customHeight="1">
      <c r="A140" s="7"/>
      <c r="B140" s="7"/>
      <c r="C140" s="30"/>
      <c r="D140" s="30"/>
      <c r="E140" s="30"/>
      <c r="F140" s="30"/>
      <c r="G140" s="30"/>
      <c r="H140" s="30"/>
      <c r="I140" s="7"/>
      <c r="J140" s="7"/>
      <c r="K140" s="7"/>
      <c r="L140" s="7"/>
      <c r="M140" s="7"/>
      <c r="N140" s="7"/>
      <c r="O140" s="7"/>
      <c r="P140" s="7"/>
      <c r="Q140" s="7"/>
      <c r="R140" s="7"/>
      <c r="S140" s="7"/>
      <c r="T140" s="7"/>
      <c r="U140" s="7"/>
      <c r="V140" s="7"/>
      <c r="W140" s="7"/>
      <c r="X140" s="7"/>
      <c r="Y140" s="7"/>
    </row>
    <row r="141" spans="1:25" ht="15.75" customHeight="1">
      <c r="A141" s="7"/>
      <c r="B141" s="7"/>
      <c r="C141" s="30"/>
      <c r="D141" s="30"/>
      <c r="E141" s="30"/>
      <c r="F141" s="30"/>
      <c r="G141" s="30"/>
      <c r="H141" s="30"/>
      <c r="I141" s="7"/>
      <c r="J141" s="7"/>
      <c r="K141" s="7"/>
      <c r="L141" s="7"/>
      <c r="M141" s="7"/>
      <c r="N141" s="7"/>
      <c r="O141" s="7"/>
      <c r="P141" s="7"/>
      <c r="Q141" s="7"/>
      <c r="R141" s="7"/>
      <c r="S141" s="7"/>
      <c r="T141" s="7"/>
      <c r="U141" s="7"/>
      <c r="V141" s="7"/>
      <c r="W141" s="7"/>
      <c r="X141" s="7"/>
      <c r="Y141" s="7"/>
    </row>
    <row r="142" spans="1:25" ht="15.75" customHeight="1">
      <c r="A142" s="7"/>
      <c r="B142" s="7"/>
      <c r="C142" s="30"/>
      <c r="D142" s="30"/>
      <c r="E142" s="30"/>
      <c r="F142" s="30"/>
      <c r="G142" s="30"/>
      <c r="H142" s="30"/>
      <c r="I142" s="7"/>
      <c r="J142" s="7"/>
      <c r="K142" s="7"/>
      <c r="L142" s="7"/>
      <c r="M142" s="7"/>
      <c r="N142" s="7"/>
      <c r="O142" s="7"/>
      <c r="P142" s="7"/>
      <c r="Q142" s="7"/>
      <c r="R142" s="7"/>
      <c r="S142" s="7"/>
      <c r="T142" s="7"/>
      <c r="U142" s="7"/>
      <c r="V142" s="7"/>
      <c r="W142" s="7"/>
      <c r="X142" s="7"/>
      <c r="Y142" s="7"/>
    </row>
    <row r="143" spans="1:25" ht="15.75" customHeight="1">
      <c r="A143" s="7"/>
      <c r="B143" s="7"/>
      <c r="C143" s="30"/>
      <c r="D143" s="30"/>
      <c r="E143" s="30"/>
      <c r="F143" s="30"/>
      <c r="G143" s="30"/>
      <c r="H143" s="30"/>
      <c r="I143" s="7"/>
      <c r="J143" s="7"/>
      <c r="K143" s="7"/>
      <c r="L143" s="7"/>
      <c r="M143" s="7"/>
      <c r="N143" s="7"/>
      <c r="O143" s="7"/>
      <c r="P143" s="7"/>
      <c r="Q143" s="7"/>
      <c r="R143" s="7"/>
      <c r="S143" s="7"/>
      <c r="T143" s="7"/>
      <c r="U143" s="7"/>
      <c r="V143" s="7"/>
      <c r="W143" s="7"/>
      <c r="X143" s="7"/>
      <c r="Y143" s="7"/>
    </row>
    <row r="144" spans="1:25" ht="15.75" customHeight="1">
      <c r="A144" s="7"/>
      <c r="B144" s="7"/>
      <c r="C144" s="30"/>
      <c r="D144" s="30"/>
      <c r="E144" s="30"/>
      <c r="F144" s="30"/>
      <c r="G144" s="30"/>
      <c r="H144" s="30"/>
      <c r="I144" s="7"/>
      <c r="J144" s="7"/>
      <c r="K144" s="7"/>
      <c r="L144" s="7"/>
      <c r="M144" s="7"/>
      <c r="N144" s="7"/>
      <c r="O144" s="7"/>
      <c r="P144" s="7"/>
      <c r="Q144" s="7"/>
      <c r="R144" s="7"/>
      <c r="S144" s="7"/>
      <c r="T144" s="7"/>
      <c r="U144" s="7"/>
      <c r="V144" s="7"/>
      <c r="W144" s="7"/>
      <c r="X144" s="7"/>
      <c r="Y144" s="7"/>
    </row>
    <row r="145" spans="1:25" ht="15.75" customHeight="1">
      <c r="A145" s="7"/>
      <c r="B145" s="7"/>
      <c r="C145" s="30"/>
      <c r="D145" s="30"/>
      <c r="E145" s="30"/>
      <c r="F145" s="30"/>
      <c r="G145" s="30"/>
      <c r="H145" s="30"/>
      <c r="I145" s="7"/>
      <c r="J145" s="7"/>
      <c r="K145" s="7"/>
      <c r="L145" s="7"/>
      <c r="M145" s="7"/>
      <c r="N145" s="7"/>
      <c r="O145" s="7"/>
      <c r="P145" s="7"/>
      <c r="Q145" s="7"/>
      <c r="R145" s="7"/>
      <c r="S145" s="7"/>
      <c r="T145" s="7"/>
      <c r="U145" s="7"/>
      <c r="V145" s="7"/>
      <c r="W145" s="7"/>
      <c r="X145" s="7"/>
      <c r="Y145" s="7"/>
    </row>
    <row r="146" spans="1:25" ht="15.75" customHeight="1">
      <c r="A146" s="7"/>
      <c r="B146" s="7"/>
      <c r="C146" s="30"/>
      <c r="D146" s="30"/>
      <c r="E146" s="30"/>
      <c r="F146" s="30"/>
      <c r="G146" s="30"/>
      <c r="H146" s="30"/>
      <c r="I146" s="7"/>
      <c r="J146" s="7"/>
      <c r="K146" s="7"/>
      <c r="L146" s="7"/>
      <c r="M146" s="7"/>
      <c r="N146" s="7"/>
      <c r="O146" s="7"/>
      <c r="P146" s="7"/>
      <c r="Q146" s="7"/>
      <c r="R146" s="7"/>
      <c r="S146" s="7"/>
      <c r="T146" s="7"/>
      <c r="U146" s="7"/>
      <c r="V146" s="7"/>
      <c r="W146" s="7"/>
      <c r="X146" s="7"/>
      <c r="Y146" s="7"/>
    </row>
    <row r="147" spans="1:25" ht="15.75" customHeight="1">
      <c r="A147" s="7"/>
      <c r="B147" s="7"/>
      <c r="C147" s="30"/>
      <c r="D147" s="30"/>
      <c r="E147" s="30"/>
      <c r="F147" s="30"/>
      <c r="G147" s="30"/>
      <c r="H147" s="30"/>
      <c r="I147" s="7"/>
      <c r="J147" s="7"/>
      <c r="K147" s="7"/>
      <c r="L147" s="7"/>
      <c r="M147" s="7"/>
      <c r="N147" s="7"/>
      <c r="O147" s="7"/>
      <c r="P147" s="7"/>
      <c r="Q147" s="7"/>
      <c r="R147" s="7"/>
      <c r="S147" s="7"/>
      <c r="T147" s="7"/>
      <c r="U147" s="7"/>
      <c r="V147" s="7"/>
      <c r="W147" s="7"/>
      <c r="X147" s="7"/>
      <c r="Y147" s="7"/>
    </row>
    <row r="148" spans="1:25" ht="15.75" customHeight="1">
      <c r="A148" s="7"/>
      <c r="B148" s="7"/>
      <c r="C148" s="30"/>
      <c r="D148" s="30"/>
      <c r="E148" s="30"/>
      <c r="F148" s="30"/>
      <c r="G148" s="30"/>
      <c r="H148" s="30"/>
      <c r="I148" s="7"/>
      <c r="J148" s="7"/>
      <c r="K148" s="7"/>
      <c r="L148" s="7"/>
      <c r="M148" s="7"/>
      <c r="N148" s="7"/>
      <c r="O148" s="7"/>
      <c r="P148" s="7"/>
      <c r="Q148" s="7"/>
      <c r="R148" s="7"/>
      <c r="S148" s="7"/>
      <c r="T148" s="7"/>
      <c r="U148" s="7"/>
      <c r="V148" s="7"/>
      <c r="W148" s="7"/>
      <c r="X148" s="7"/>
      <c r="Y148" s="7"/>
    </row>
    <row r="149" spans="1:25" ht="15.75" customHeight="1">
      <c r="A149" s="7"/>
      <c r="B149" s="7"/>
      <c r="C149" s="30"/>
      <c r="D149" s="30"/>
      <c r="E149" s="30"/>
      <c r="F149" s="30"/>
      <c r="G149" s="30"/>
      <c r="H149" s="30"/>
      <c r="I149" s="7"/>
      <c r="J149" s="7"/>
      <c r="K149" s="7"/>
      <c r="L149" s="7"/>
      <c r="M149" s="7"/>
      <c r="N149" s="7"/>
      <c r="O149" s="7"/>
      <c r="P149" s="7"/>
      <c r="Q149" s="7"/>
      <c r="R149" s="7"/>
      <c r="S149" s="7"/>
      <c r="T149" s="7"/>
      <c r="U149" s="7"/>
      <c r="V149" s="7"/>
      <c r="W149" s="7"/>
      <c r="X149" s="7"/>
      <c r="Y149" s="7"/>
    </row>
    <row r="150" spans="1:25" ht="15.75" customHeight="1">
      <c r="A150" s="7"/>
      <c r="B150" s="7"/>
      <c r="C150" s="30"/>
      <c r="D150" s="30"/>
      <c r="E150" s="30"/>
      <c r="F150" s="30"/>
      <c r="G150" s="30"/>
      <c r="H150" s="30"/>
      <c r="I150" s="7"/>
      <c r="J150" s="7"/>
      <c r="K150" s="7"/>
      <c r="L150" s="7"/>
      <c r="M150" s="7"/>
      <c r="N150" s="7"/>
      <c r="O150" s="7"/>
      <c r="P150" s="7"/>
      <c r="Q150" s="7"/>
      <c r="R150" s="7"/>
      <c r="S150" s="7"/>
      <c r="T150" s="7"/>
      <c r="U150" s="7"/>
      <c r="V150" s="7"/>
      <c r="W150" s="7"/>
      <c r="X150" s="7"/>
      <c r="Y150" s="7"/>
    </row>
    <row r="151" spans="1:25" ht="15.75" customHeight="1">
      <c r="A151" s="7"/>
      <c r="B151" s="7"/>
      <c r="C151" s="30"/>
      <c r="D151" s="30"/>
      <c r="E151" s="30"/>
      <c r="F151" s="30"/>
      <c r="G151" s="30"/>
      <c r="H151" s="30"/>
      <c r="I151" s="7"/>
      <c r="J151" s="7"/>
      <c r="K151" s="7"/>
      <c r="L151" s="7"/>
      <c r="M151" s="7"/>
      <c r="N151" s="7"/>
      <c r="O151" s="7"/>
      <c r="P151" s="7"/>
      <c r="Q151" s="7"/>
      <c r="R151" s="7"/>
      <c r="S151" s="7"/>
      <c r="T151" s="7"/>
      <c r="U151" s="7"/>
      <c r="V151" s="7"/>
      <c r="W151" s="7"/>
      <c r="X151" s="7"/>
      <c r="Y151" s="7"/>
    </row>
    <row r="152" spans="1:25" ht="15.75" customHeight="1">
      <c r="A152" s="7"/>
      <c r="B152" s="7"/>
      <c r="C152" s="30"/>
      <c r="D152" s="30"/>
      <c r="E152" s="30"/>
      <c r="F152" s="30"/>
      <c r="G152" s="30"/>
      <c r="H152" s="30"/>
      <c r="I152" s="7"/>
      <c r="J152" s="7"/>
      <c r="K152" s="7"/>
      <c r="L152" s="7"/>
      <c r="M152" s="7"/>
      <c r="N152" s="7"/>
      <c r="O152" s="7"/>
      <c r="P152" s="7"/>
      <c r="Q152" s="7"/>
      <c r="R152" s="7"/>
      <c r="S152" s="7"/>
      <c r="T152" s="7"/>
      <c r="U152" s="7"/>
      <c r="V152" s="7"/>
      <c r="W152" s="7"/>
      <c r="X152" s="7"/>
      <c r="Y152" s="7"/>
    </row>
    <row r="153" spans="1:25" ht="15.75" customHeight="1">
      <c r="A153" s="7"/>
      <c r="B153" s="7"/>
      <c r="C153" s="30"/>
      <c r="D153" s="30"/>
      <c r="E153" s="30"/>
      <c r="F153" s="30"/>
      <c r="G153" s="30"/>
      <c r="H153" s="30"/>
      <c r="I153" s="7"/>
      <c r="J153" s="7"/>
      <c r="K153" s="7"/>
      <c r="L153" s="7"/>
      <c r="M153" s="7"/>
      <c r="N153" s="7"/>
      <c r="O153" s="7"/>
      <c r="P153" s="7"/>
      <c r="Q153" s="7"/>
      <c r="R153" s="7"/>
      <c r="S153" s="7"/>
      <c r="T153" s="7"/>
      <c r="U153" s="7"/>
      <c r="V153" s="7"/>
      <c r="W153" s="7"/>
      <c r="X153" s="7"/>
      <c r="Y153" s="7"/>
    </row>
    <row r="154" spans="1:25" ht="15.75" customHeight="1">
      <c r="A154" s="7"/>
      <c r="B154" s="7"/>
      <c r="C154" s="30"/>
      <c r="D154" s="30"/>
      <c r="E154" s="30"/>
      <c r="F154" s="30"/>
      <c r="G154" s="30"/>
      <c r="H154" s="30"/>
      <c r="I154" s="7"/>
      <c r="J154" s="7"/>
      <c r="K154" s="7"/>
      <c r="L154" s="7"/>
      <c r="M154" s="7"/>
      <c r="N154" s="7"/>
      <c r="O154" s="7"/>
      <c r="P154" s="7"/>
      <c r="Q154" s="7"/>
      <c r="R154" s="7"/>
      <c r="S154" s="7"/>
      <c r="T154" s="7"/>
      <c r="U154" s="7"/>
      <c r="V154" s="7"/>
      <c r="W154" s="7"/>
      <c r="X154" s="7"/>
      <c r="Y154" s="7"/>
    </row>
    <row r="155" spans="1:25" ht="15.75" customHeight="1">
      <c r="A155" s="7"/>
      <c r="B155" s="7"/>
      <c r="C155" s="30"/>
      <c r="D155" s="30"/>
      <c r="E155" s="30"/>
      <c r="F155" s="30"/>
      <c r="G155" s="30"/>
      <c r="H155" s="30"/>
      <c r="I155" s="7"/>
      <c r="J155" s="7"/>
      <c r="K155" s="7"/>
      <c r="L155" s="7"/>
      <c r="M155" s="7"/>
      <c r="N155" s="7"/>
      <c r="O155" s="7"/>
      <c r="P155" s="7"/>
      <c r="Q155" s="7"/>
      <c r="R155" s="7"/>
      <c r="S155" s="7"/>
      <c r="T155" s="7"/>
      <c r="U155" s="7"/>
      <c r="V155" s="7"/>
      <c r="W155" s="7"/>
      <c r="X155" s="7"/>
      <c r="Y155" s="7"/>
    </row>
    <row r="156" spans="1:25" ht="15.75" customHeight="1">
      <c r="A156" s="7"/>
      <c r="B156" s="7"/>
      <c r="C156" s="30"/>
      <c r="D156" s="30"/>
      <c r="E156" s="30"/>
      <c r="F156" s="30"/>
      <c r="G156" s="30"/>
      <c r="H156" s="30"/>
      <c r="I156" s="7"/>
      <c r="J156" s="7"/>
      <c r="K156" s="7"/>
      <c r="L156" s="7"/>
      <c r="M156" s="7"/>
      <c r="N156" s="7"/>
      <c r="O156" s="7"/>
      <c r="P156" s="7"/>
      <c r="Q156" s="7"/>
      <c r="R156" s="7"/>
      <c r="S156" s="7"/>
      <c r="T156" s="7"/>
      <c r="U156" s="7"/>
      <c r="V156" s="7"/>
      <c r="W156" s="7"/>
      <c r="X156" s="7"/>
      <c r="Y156" s="7"/>
    </row>
    <row r="157" spans="1:25" ht="15.75" customHeight="1">
      <c r="A157" s="7"/>
      <c r="B157" s="7"/>
      <c r="C157" s="30"/>
      <c r="D157" s="30"/>
      <c r="E157" s="30"/>
      <c r="F157" s="30"/>
      <c r="G157" s="30"/>
      <c r="H157" s="30"/>
      <c r="I157" s="7"/>
      <c r="J157" s="7"/>
      <c r="K157" s="7"/>
      <c r="L157" s="7"/>
      <c r="M157" s="7"/>
      <c r="N157" s="7"/>
      <c r="O157" s="7"/>
      <c r="P157" s="7"/>
      <c r="Q157" s="7"/>
      <c r="R157" s="7"/>
      <c r="S157" s="7"/>
      <c r="T157" s="7"/>
      <c r="U157" s="7"/>
      <c r="V157" s="7"/>
      <c r="W157" s="7"/>
      <c r="X157" s="7"/>
      <c r="Y157" s="7"/>
    </row>
    <row r="158" spans="1:25" ht="15.75" customHeight="1">
      <c r="A158" s="7"/>
      <c r="B158" s="7"/>
      <c r="C158" s="30"/>
      <c r="D158" s="30"/>
      <c r="E158" s="30"/>
      <c r="F158" s="30"/>
      <c r="G158" s="30"/>
      <c r="H158" s="30"/>
      <c r="I158" s="7"/>
      <c r="J158" s="7"/>
      <c r="K158" s="7"/>
      <c r="L158" s="7"/>
      <c r="M158" s="7"/>
      <c r="N158" s="7"/>
      <c r="O158" s="7"/>
      <c r="P158" s="7"/>
      <c r="Q158" s="7"/>
      <c r="R158" s="7"/>
      <c r="S158" s="7"/>
      <c r="T158" s="7"/>
      <c r="U158" s="7"/>
      <c r="V158" s="7"/>
      <c r="W158" s="7"/>
      <c r="X158" s="7"/>
      <c r="Y158" s="7"/>
    </row>
    <row r="159" spans="1:25" ht="15.75" customHeight="1">
      <c r="A159" s="7"/>
      <c r="B159" s="7"/>
      <c r="C159" s="30"/>
      <c r="D159" s="30"/>
      <c r="E159" s="30"/>
      <c r="F159" s="30"/>
      <c r="G159" s="30"/>
      <c r="H159" s="30"/>
      <c r="I159" s="7"/>
      <c r="J159" s="7"/>
      <c r="K159" s="7"/>
      <c r="L159" s="7"/>
      <c r="M159" s="7"/>
      <c r="N159" s="7"/>
      <c r="O159" s="7"/>
      <c r="P159" s="7"/>
      <c r="Q159" s="7"/>
      <c r="R159" s="7"/>
      <c r="S159" s="7"/>
      <c r="T159" s="7"/>
      <c r="U159" s="7"/>
      <c r="V159" s="7"/>
      <c r="W159" s="7"/>
      <c r="X159" s="7"/>
      <c r="Y159" s="7"/>
    </row>
    <row r="160" spans="1:25" ht="15.75" customHeight="1">
      <c r="A160" s="7"/>
      <c r="B160" s="7"/>
      <c r="C160" s="30"/>
      <c r="D160" s="30"/>
      <c r="E160" s="30"/>
      <c r="F160" s="30"/>
      <c r="G160" s="30"/>
      <c r="H160" s="30"/>
      <c r="I160" s="7"/>
      <c r="J160" s="7"/>
      <c r="K160" s="7"/>
      <c r="L160" s="7"/>
      <c r="M160" s="7"/>
      <c r="N160" s="7"/>
      <c r="O160" s="7"/>
      <c r="P160" s="7"/>
      <c r="Q160" s="7"/>
      <c r="R160" s="7"/>
      <c r="S160" s="7"/>
      <c r="T160" s="7"/>
      <c r="U160" s="7"/>
      <c r="V160" s="7"/>
      <c r="W160" s="7"/>
      <c r="X160" s="7"/>
      <c r="Y160" s="7"/>
    </row>
    <row r="161" spans="1:25" ht="15.75" customHeight="1">
      <c r="A161" s="7"/>
      <c r="B161" s="7"/>
      <c r="C161" s="30"/>
      <c r="D161" s="30"/>
      <c r="E161" s="30"/>
      <c r="F161" s="30"/>
      <c r="G161" s="30"/>
      <c r="H161" s="30"/>
      <c r="I161" s="7"/>
      <c r="J161" s="7"/>
      <c r="K161" s="7"/>
      <c r="L161" s="7"/>
      <c r="M161" s="7"/>
      <c r="N161" s="7"/>
      <c r="O161" s="7"/>
      <c r="P161" s="7"/>
      <c r="Q161" s="7"/>
      <c r="R161" s="7"/>
      <c r="S161" s="7"/>
      <c r="T161" s="7"/>
      <c r="U161" s="7"/>
      <c r="V161" s="7"/>
      <c r="W161" s="7"/>
      <c r="X161" s="7"/>
      <c r="Y161" s="7"/>
    </row>
    <row r="162" spans="1:25" ht="15.75" customHeight="1">
      <c r="A162" s="7"/>
      <c r="B162" s="7"/>
      <c r="C162" s="30"/>
      <c r="D162" s="30"/>
      <c r="E162" s="30"/>
      <c r="F162" s="30"/>
      <c r="G162" s="30"/>
      <c r="H162" s="30"/>
      <c r="I162" s="7"/>
      <c r="J162" s="7"/>
      <c r="K162" s="7"/>
      <c r="L162" s="7"/>
      <c r="M162" s="7"/>
      <c r="N162" s="7"/>
      <c r="O162" s="7"/>
      <c r="P162" s="7"/>
      <c r="Q162" s="7"/>
      <c r="R162" s="7"/>
      <c r="S162" s="7"/>
      <c r="T162" s="7"/>
      <c r="U162" s="7"/>
      <c r="V162" s="7"/>
      <c r="W162" s="7"/>
      <c r="X162" s="7"/>
      <c r="Y162" s="7"/>
    </row>
    <row r="163" spans="1:25" ht="15.75" customHeight="1">
      <c r="A163" s="7"/>
      <c r="B163" s="7"/>
      <c r="C163" s="30"/>
      <c r="D163" s="30"/>
      <c r="E163" s="30"/>
      <c r="F163" s="30"/>
      <c r="G163" s="30"/>
      <c r="H163" s="30"/>
      <c r="I163" s="7"/>
      <c r="J163" s="7"/>
      <c r="K163" s="7"/>
      <c r="L163" s="7"/>
      <c r="M163" s="7"/>
      <c r="N163" s="7"/>
      <c r="O163" s="7"/>
      <c r="P163" s="7"/>
      <c r="Q163" s="7"/>
      <c r="R163" s="7"/>
      <c r="S163" s="7"/>
      <c r="T163" s="7"/>
      <c r="U163" s="7"/>
      <c r="V163" s="7"/>
      <c r="W163" s="7"/>
      <c r="X163" s="7"/>
      <c r="Y163" s="7"/>
    </row>
    <row r="164" spans="1:25" ht="15.75" customHeight="1">
      <c r="A164" s="7"/>
      <c r="B164" s="7"/>
      <c r="C164" s="30"/>
      <c r="D164" s="30"/>
      <c r="E164" s="30"/>
      <c r="F164" s="30"/>
      <c r="G164" s="30"/>
      <c r="H164" s="30"/>
      <c r="I164" s="7"/>
      <c r="J164" s="7"/>
      <c r="K164" s="7"/>
      <c r="L164" s="7"/>
      <c r="M164" s="7"/>
      <c r="N164" s="7"/>
      <c r="O164" s="7"/>
      <c r="P164" s="7"/>
      <c r="Q164" s="7"/>
      <c r="R164" s="7"/>
      <c r="S164" s="7"/>
      <c r="T164" s="7"/>
      <c r="U164" s="7"/>
      <c r="V164" s="7"/>
      <c r="W164" s="7"/>
      <c r="X164" s="7"/>
      <c r="Y164" s="7"/>
    </row>
    <row r="165" spans="1:25" ht="15.75" customHeight="1">
      <c r="A165" s="7"/>
      <c r="B165" s="7"/>
      <c r="C165" s="30"/>
      <c r="D165" s="30"/>
      <c r="E165" s="30"/>
      <c r="F165" s="30"/>
      <c r="G165" s="30"/>
      <c r="H165" s="30"/>
      <c r="I165" s="7"/>
      <c r="J165" s="7"/>
      <c r="K165" s="7"/>
      <c r="L165" s="7"/>
      <c r="M165" s="7"/>
      <c r="N165" s="7"/>
      <c r="O165" s="7"/>
      <c r="P165" s="7"/>
      <c r="Q165" s="7"/>
      <c r="R165" s="7"/>
      <c r="S165" s="7"/>
      <c r="T165" s="7"/>
      <c r="U165" s="7"/>
      <c r="V165" s="7"/>
      <c r="W165" s="7"/>
      <c r="X165" s="7"/>
      <c r="Y165" s="7"/>
    </row>
    <row r="166" spans="1:25" ht="15.75" customHeight="1">
      <c r="A166" s="7"/>
      <c r="B166" s="7"/>
      <c r="C166" s="30"/>
      <c r="D166" s="30"/>
      <c r="E166" s="30"/>
      <c r="F166" s="30"/>
      <c r="G166" s="30"/>
      <c r="H166" s="30"/>
      <c r="I166" s="7"/>
      <c r="J166" s="7"/>
      <c r="K166" s="7"/>
      <c r="L166" s="7"/>
      <c r="M166" s="7"/>
      <c r="N166" s="7"/>
      <c r="O166" s="7"/>
      <c r="P166" s="7"/>
      <c r="Q166" s="7"/>
      <c r="R166" s="7"/>
      <c r="S166" s="7"/>
      <c r="T166" s="7"/>
      <c r="U166" s="7"/>
      <c r="V166" s="7"/>
      <c r="W166" s="7"/>
      <c r="X166" s="7"/>
      <c r="Y166" s="7"/>
    </row>
    <row r="167" spans="1:25" ht="15.75" customHeight="1">
      <c r="A167" s="7"/>
      <c r="B167" s="7"/>
      <c r="C167" s="30"/>
      <c r="D167" s="30"/>
      <c r="E167" s="30"/>
      <c r="F167" s="30"/>
      <c r="G167" s="30"/>
      <c r="H167" s="30"/>
      <c r="I167" s="7"/>
      <c r="J167" s="7"/>
      <c r="K167" s="7"/>
      <c r="L167" s="7"/>
      <c r="M167" s="7"/>
      <c r="N167" s="7"/>
      <c r="O167" s="7"/>
      <c r="P167" s="7"/>
      <c r="Q167" s="7"/>
      <c r="R167" s="7"/>
      <c r="S167" s="7"/>
      <c r="T167" s="7"/>
      <c r="U167" s="7"/>
      <c r="V167" s="7"/>
      <c r="W167" s="7"/>
      <c r="X167" s="7"/>
      <c r="Y167" s="7"/>
    </row>
    <row r="168" spans="1:25" ht="15.75" customHeight="1">
      <c r="A168" s="7"/>
      <c r="B168" s="7"/>
      <c r="C168" s="30"/>
      <c r="D168" s="30"/>
      <c r="E168" s="30"/>
      <c r="F168" s="30"/>
      <c r="G168" s="30"/>
      <c r="H168" s="30"/>
      <c r="I168" s="7"/>
      <c r="J168" s="7"/>
      <c r="K168" s="7"/>
      <c r="L168" s="7"/>
      <c r="M168" s="7"/>
      <c r="N168" s="7"/>
      <c r="O168" s="7"/>
      <c r="P168" s="7"/>
      <c r="Q168" s="7"/>
      <c r="R168" s="7"/>
      <c r="S168" s="7"/>
      <c r="T168" s="7"/>
      <c r="U168" s="7"/>
      <c r="V168" s="7"/>
      <c r="W168" s="7"/>
      <c r="X168" s="7"/>
      <c r="Y168" s="7"/>
    </row>
    <row r="169" spans="1:25" ht="15.75" customHeight="1">
      <c r="A169" s="7"/>
      <c r="B169" s="7"/>
      <c r="C169" s="30"/>
      <c r="D169" s="30"/>
      <c r="E169" s="30"/>
      <c r="F169" s="30"/>
      <c r="G169" s="30"/>
      <c r="H169" s="30"/>
      <c r="I169" s="7"/>
      <c r="J169" s="7"/>
      <c r="K169" s="7"/>
      <c r="L169" s="7"/>
      <c r="M169" s="7"/>
      <c r="N169" s="7"/>
      <c r="O169" s="7"/>
      <c r="P169" s="7"/>
      <c r="Q169" s="7"/>
      <c r="R169" s="7"/>
      <c r="S169" s="7"/>
      <c r="T169" s="7"/>
      <c r="U169" s="7"/>
      <c r="V169" s="7"/>
      <c r="W169" s="7"/>
      <c r="X169" s="7"/>
      <c r="Y169" s="7"/>
    </row>
    <row r="170" spans="1:25" ht="15.75" customHeight="1">
      <c r="A170" s="7"/>
      <c r="B170" s="7"/>
      <c r="C170" s="30"/>
      <c r="D170" s="30"/>
      <c r="E170" s="30"/>
      <c r="F170" s="30"/>
      <c r="G170" s="30"/>
      <c r="H170" s="30"/>
      <c r="I170" s="7"/>
      <c r="J170" s="7"/>
      <c r="K170" s="7"/>
      <c r="L170" s="7"/>
      <c r="M170" s="7"/>
      <c r="N170" s="7"/>
      <c r="O170" s="7"/>
      <c r="P170" s="7"/>
      <c r="Q170" s="7"/>
      <c r="R170" s="7"/>
      <c r="S170" s="7"/>
      <c r="T170" s="7"/>
      <c r="U170" s="7"/>
      <c r="V170" s="7"/>
      <c r="W170" s="7"/>
      <c r="X170" s="7"/>
      <c r="Y170" s="7"/>
    </row>
    <row r="171" spans="1:25" ht="15.75" customHeight="1">
      <c r="A171" s="7"/>
      <c r="B171" s="7"/>
      <c r="C171" s="30"/>
      <c r="D171" s="30"/>
      <c r="E171" s="30"/>
      <c r="F171" s="30"/>
      <c r="G171" s="30"/>
      <c r="H171" s="30"/>
      <c r="I171" s="7"/>
      <c r="J171" s="7"/>
      <c r="K171" s="7"/>
      <c r="L171" s="7"/>
      <c r="M171" s="7"/>
      <c r="N171" s="7"/>
      <c r="O171" s="7"/>
      <c r="P171" s="7"/>
      <c r="Q171" s="7"/>
      <c r="R171" s="7"/>
      <c r="S171" s="7"/>
      <c r="T171" s="7"/>
      <c r="U171" s="7"/>
      <c r="V171" s="7"/>
      <c r="W171" s="7"/>
      <c r="X171" s="7"/>
      <c r="Y171" s="7"/>
    </row>
    <row r="172" spans="1:25" ht="15.75" customHeight="1">
      <c r="A172" s="7"/>
      <c r="B172" s="7"/>
      <c r="C172" s="30"/>
      <c r="D172" s="30"/>
      <c r="E172" s="30"/>
      <c r="F172" s="30"/>
      <c r="G172" s="30"/>
      <c r="H172" s="30"/>
      <c r="I172" s="7"/>
      <c r="J172" s="7"/>
      <c r="K172" s="7"/>
      <c r="L172" s="7"/>
      <c r="M172" s="7"/>
      <c r="N172" s="7"/>
      <c r="O172" s="7"/>
      <c r="P172" s="7"/>
      <c r="Q172" s="7"/>
      <c r="R172" s="7"/>
      <c r="S172" s="7"/>
      <c r="T172" s="7"/>
      <c r="U172" s="7"/>
      <c r="V172" s="7"/>
      <c r="W172" s="7"/>
      <c r="X172" s="7"/>
      <c r="Y172" s="7"/>
    </row>
    <row r="173" spans="1:25" ht="15.75" customHeight="1">
      <c r="A173" s="7"/>
      <c r="B173" s="7"/>
      <c r="C173" s="30"/>
      <c r="D173" s="30"/>
      <c r="E173" s="30"/>
      <c r="F173" s="30"/>
      <c r="G173" s="30"/>
      <c r="H173" s="30"/>
      <c r="I173" s="7"/>
      <c r="J173" s="7"/>
      <c r="K173" s="7"/>
      <c r="L173" s="7"/>
      <c r="M173" s="7"/>
      <c r="N173" s="7"/>
      <c r="O173" s="7"/>
      <c r="P173" s="7"/>
      <c r="Q173" s="7"/>
      <c r="R173" s="7"/>
      <c r="S173" s="7"/>
      <c r="T173" s="7"/>
      <c r="U173" s="7"/>
      <c r="V173" s="7"/>
      <c r="W173" s="7"/>
      <c r="X173" s="7"/>
      <c r="Y173" s="7"/>
    </row>
    <row r="174" spans="1:25" ht="15.75" customHeight="1">
      <c r="A174" s="7"/>
      <c r="B174" s="7"/>
      <c r="C174" s="30"/>
      <c r="D174" s="30"/>
      <c r="E174" s="30"/>
      <c r="F174" s="30"/>
      <c r="G174" s="30"/>
      <c r="H174" s="30"/>
      <c r="I174" s="7"/>
      <c r="J174" s="7"/>
      <c r="K174" s="7"/>
      <c r="L174" s="7"/>
      <c r="M174" s="7"/>
      <c r="N174" s="7"/>
      <c r="O174" s="7"/>
      <c r="P174" s="7"/>
      <c r="Q174" s="7"/>
      <c r="R174" s="7"/>
      <c r="S174" s="7"/>
      <c r="T174" s="7"/>
      <c r="U174" s="7"/>
      <c r="V174" s="7"/>
      <c r="W174" s="7"/>
      <c r="X174" s="7"/>
      <c r="Y174" s="7"/>
    </row>
    <row r="175" spans="1:25" ht="15.75" customHeight="1">
      <c r="A175" s="7"/>
      <c r="B175" s="7"/>
      <c r="C175" s="30"/>
      <c r="D175" s="30"/>
      <c r="E175" s="30"/>
      <c r="F175" s="30"/>
      <c r="G175" s="30"/>
      <c r="H175" s="30"/>
      <c r="I175" s="7"/>
      <c r="J175" s="7"/>
      <c r="K175" s="7"/>
      <c r="L175" s="7"/>
      <c r="M175" s="7"/>
      <c r="N175" s="7"/>
      <c r="O175" s="7"/>
      <c r="P175" s="7"/>
      <c r="Q175" s="7"/>
      <c r="R175" s="7"/>
      <c r="S175" s="7"/>
      <c r="T175" s="7"/>
      <c r="U175" s="7"/>
      <c r="V175" s="7"/>
      <c r="W175" s="7"/>
      <c r="X175" s="7"/>
      <c r="Y175" s="7"/>
    </row>
    <row r="176" spans="1:25" ht="15.75" customHeight="1">
      <c r="A176" s="7"/>
      <c r="B176" s="7"/>
      <c r="C176" s="30"/>
      <c r="D176" s="30"/>
      <c r="E176" s="30"/>
      <c r="F176" s="30"/>
      <c r="G176" s="30"/>
      <c r="H176" s="30"/>
      <c r="I176" s="7"/>
      <c r="J176" s="7"/>
      <c r="K176" s="7"/>
      <c r="L176" s="7"/>
      <c r="M176" s="7"/>
      <c r="N176" s="7"/>
      <c r="O176" s="7"/>
      <c r="P176" s="7"/>
      <c r="Q176" s="7"/>
      <c r="R176" s="7"/>
      <c r="S176" s="7"/>
      <c r="T176" s="7"/>
      <c r="U176" s="7"/>
      <c r="V176" s="7"/>
      <c r="W176" s="7"/>
      <c r="X176" s="7"/>
      <c r="Y176" s="7"/>
    </row>
    <row r="177" spans="1:25" ht="15.75" customHeight="1">
      <c r="A177" s="7"/>
      <c r="B177" s="7"/>
      <c r="C177" s="30"/>
      <c r="D177" s="30"/>
      <c r="E177" s="30"/>
      <c r="F177" s="30"/>
      <c r="G177" s="30"/>
      <c r="H177" s="30"/>
      <c r="I177" s="7"/>
      <c r="J177" s="7"/>
      <c r="K177" s="7"/>
      <c r="L177" s="7"/>
      <c r="M177" s="7"/>
      <c r="N177" s="7"/>
      <c r="O177" s="7"/>
      <c r="P177" s="7"/>
      <c r="Q177" s="7"/>
      <c r="R177" s="7"/>
      <c r="S177" s="7"/>
      <c r="T177" s="7"/>
      <c r="U177" s="7"/>
      <c r="V177" s="7"/>
      <c r="W177" s="7"/>
      <c r="X177" s="7"/>
      <c r="Y177" s="7"/>
    </row>
    <row r="178" spans="1:25" ht="15.75" customHeight="1">
      <c r="A178" s="7"/>
      <c r="B178" s="7"/>
      <c r="C178" s="30"/>
      <c r="D178" s="30"/>
      <c r="E178" s="30"/>
      <c r="F178" s="30"/>
      <c r="G178" s="30"/>
      <c r="H178" s="30"/>
      <c r="I178" s="7"/>
      <c r="J178" s="7"/>
      <c r="K178" s="7"/>
      <c r="L178" s="7"/>
      <c r="M178" s="7"/>
      <c r="N178" s="7"/>
      <c r="O178" s="7"/>
      <c r="P178" s="7"/>
      <c r="Q178" s="7"/>
      <c r="R178" s="7"/>
      <c r="S178" s="7"/>
      <c r="T178" s="7"/>
      <c r="U178" s="7"/>
      <c r="V178" s="7"/>
      <c r="W178" s="7"/>
      <c r="X178" s="7"/>
      <c r="Y178" s="7"/>
    </row>
    <row r="179" spans="1:25" ht="15.75" customHeight="1">
      <c r="A179" s="7"/>
      <c r="B179" s="7"/>
      <c r="C179" s="30"/>
      <c r="D179" s="30"/>
      <c r="E179" s="30"/>
      <c r="F179" s="30"/>
      <c r="G179" s="30"/>
      <c r="H179" s="30"/>
      <c r="I179" s="7"/>
      <c r="J179" s="7"/>
      <c r="K179" s="7"/>
      <c r="L179" s="7"/>
      <c r="M179" s="7"/>
      <c r="N179" s="7"/>
      <c r="O179" s="7"/>
      <c r="P179" s="7"/>
      <c r="Q179" s="7"/>
      <c r="R179" s="7"/>
      <c r="S179" s="7"/>
      <c r="T179" s="7"/>
      <c r="U179" s="7"/>
      <c r="V179" s="7"/>
      <c r="W179" s="7"/>
      <c r="X179" s="7"/>
      <c r="Y179" s="7"/>
    </row>
    <row r="180" spans="1:25" ht="15.75" customHeight="1">
      <c r="A180" s="7"/>
      <c r="B180" s="7"/>
      <c r="C180" s="30"/>
      <c r="D180" s="30"/>
      <c r="E180" s="30"/>
      <c r="F180" s="30"/>
      <c r="G180" s="30"/>
      <c r="H180" s="30"/>
      <c r="I180" s="7"/>
      <c r="J180" s="7"/>
      <c r="K180" s="7"/>
      <c r="L180" s="7"/>
      <c r="M180" s="7"/>
      <c r="N180" s="7"/>
      <c r="O180" s="7"/>
      <c r="P180" s="7"/>
      <c r="Q180" s="7"/>
      <c r="R180" s="7"/>
      <c r="S180" s="7"/>
      <c r="T180" s="7"/>
      <c r="U180" s="7"/>
      <c r="V180" s="7"/>
      <c r="W180" s="7"/>
      <c r="X180" s="7"/>
      <c r="Y180" s="7"/>
    </row>
    <row r="181" spans="1:25" ht="15.75" customHeight="1">
      <c r="A181" s="7"/>
      <c r="B181" s="7"/>
      <c r="C181" s="30"/>
      <c r="D181" s="30"/>
      <c r="E181" s="30"/>
      <c r="F181" s="30"/>
      <c r="G181" s="30"/>
      <c r="H181" s="30"/>
      <c r="I181" s="7"/>
      <c r="J181" s="7"/>
      <c r="K181" s="7"/>
      <c r="L181" s="7"/>
      <c r="M181" s="7"/>
      <c r="N181" s="7"/>
      <c r="O181" s="7"/>
      <c r="P181" s="7"/>
      <c r="Q181" s="7"/>
      <c r="R181" s="7"/>
      <c r="S181" s="7"/>
      <c r="T181" s="7"/>
      <c r="U181" s="7"/>
      <c r="V181" s="7"/>
      <c r="W181" s="7"/>
      <c r="X181" s="7"/>
      <c r="Y181" s="7"/>
    </row>
    <row r="182" spans="1:25" ht="15.75" customHeight="1">
      <c r="A182" s="7"/>
      <c r="B182" s="7"/>
      <c r="C182" s="30"/>
      <c r="D182" s="30"/>
      <c r="E182" s="30"/>
      <c r="F182" s="30"/>
      <c r="G182" s="30"/>
      <c r="H182" s="30"/>
      <c r="I182" s="7"/>
      <c r="J182" s="7"/>
      <c r="K182" s="7"/>
      <c r="L182" s="7"/>
      <c r="M182" s="7"/>
      <c r="N182" s="7"/>
      <c r="O182" s="7"/>
      <c r="P182" s="7"/>
      <c r="Q182" s="7"/>
      <c r="R182" s="7"/>
      <c r="S182" s="7"/>
      <c r="T182" s="7"/>
      <c r="U182" s="7"/>
      <c r="V182" s="7"/>
      <c r="W182" s="7"/>
      <c r="X182" s="7"/>
      <c r="Y182" s="7"/>
    </row>
    <row r="183" spans="1:25" ht="15.75" customHeight="1">
      <c r="A183" s="7"/>
      <c r="B183" s="7"/>
      <c r="C183" s="30"/>
      <c r="D183" s="30"/>
      <c r="E183" s="30"/>
      <c r="F183" s="30"/>
      <c r="G183" s="30"/>
      <c r="H183" s="30"/>
      <c r="I183" s="7"/>
      <c r="J183" s="7"/>
      <c r="K183" s="7"/>
      <c r="L183" s="7"/>
      <c r="M183" s="7"/>
      <c r="N183" s="7"/>
      <c r="O183" s="7"/>
      <c r="P183" s="7"/>
      <c r="Q183" s="7"/>
      <c r="R183" s="7"/>
      <c r="S183" s="7"/>
      <c r="T183" s="7"/>
      <c r="U183" s="7"/>
      <c r="V183" s="7"/>
      <c r="W183" s="7"/>
      <c r="X183" s="7"/>
      <c r="Y183" s="7"/>
    </row>
    <row r="184" spans="1:25" ht="15.75" customHeight="1">
      <c r="A184" s="7"/>
      <c r="B184" s="7"/>
      <c r="C184" s="30"/>
      <c r="D184" s="30"/>
      <c r="E184" s="30"/>
      <c r="F184" s="30"/>
      <c r="G184" s="30"/>
      <c r="H184" s="30"/>
      <c r="I184" s="7"/>
      <c r="J184" s="7"/>
      <c r="K184" s="7"/>
      <c r="L184" s="7"/>
      <c r="M184" s="7"/>
      <c r="N184" s="7"/>
      <c r="O184" s="7"/>
      <c r="P184" s="7"/>
      <c r="Q184" s="7"/>
      <c r="R184" s="7"/>
      <c r="S184" s="7"/>
      <c r="T184" s="7"/>
      <c r="U184" s="7"/>
      <c r="V184" s="7"/>
      <c r="W184" s="7"/>
      <c r="X184" s="7"/>
      <c r="Y184" s="7"/>
    </row>
    <row r="185" spans="1:25" ht="15.75" customHeight="1">
      <c r="A185" s="7"/>
      <c r="B185" s="7"/>
      <c r="C185" s="30"/>
      <c r="D185" s="30"/>
      <c r="E185" s="30"/>
      <c r="F185" s="30"/>
      <c r="G185" s="30"/>
      <c r="H185" s="30"/>
      <c r="I185" s="7"/>
      <c r="J185" s="7"/>
      <c r="K185" s="7"/>
      <c r="L185" s="7"/>
      <c r="M185" s="7"/>
      <c r="N185" s="7"/>
      <c r="O185" s="7"/>
      <c r="P185" s="7"/>
      <c r="Q185" s="7"/>
      <c r="R185" s="7"/>
      <c r="S185" s="7"/>
      <c r="T185" s="7"/>
      <c r="U185" s="7"/>
      <c r="V185" s="7"/>
      <c r="W185" s="7"/>
      <c r="X185" s="7"/>
      <c r="Y185" s="7"/>
    </row>
    <row r="186" spans="1:25" ht="15.75" customHeight="1">
      <c r="A186" s="7"/>
      <c r="B186" s="7"/>
      <c r="C186" s="30"/>
      <c r="D186" s="30"/>
      <c r="E186" s="30"/>
      <c r="F186" s="30"/>
      <c r="G186" s="30"/>
      <c r="H186" s="30"/>
      <c r="I186" s="7"/>
      <c r="J186" s="7"/>
      <c r="K186" s="7"/>
      <c r="L186" s="7"/>
      <c r="M186" s="7"/>
      <c r="N186" s="7"/>
      <c r="O186" s="7"/>
      <c r="P186" s="7"/>
      <c r="Q186" s="7"/>
      <c r="R186" s="7"/>
      <c r="S186" s="7"/>
      <c r="T186" s="7"/>
      <c r="U186" s="7"/>
      <c r="V186" s="7"/>
      <c r="W186" s="7"/>
      <c r="X186" s="7"/>
      <c r="Y186" s="7"/>
    </row>
    <row r="187" spans="1:25" ht="15.75" customHeight="1">
      <c r="A187" s="7"/>
      <c r="B187" s="7"/>
      <c r="C187" s="30"/>
      <c r="D187" s="30"/>
      <c r="E187" s="30"/>
      <c r="F187" s="30"/>
      <c r="G187" s="30"/>
      <c r="H187" s="30"/>
      <c r="I187" s="7"/>
      <c r="J187" s="7"/>
      <c r="K187" s="7"/>
      <c r="L187" s="7"/>
      <c r="M187" s="7"/>
      <c r="N187" s="7"/>
      <c r="O187" s="7"/>
      <c r="P187" s="7"/>
      <c r="Q187" s="7"/>
      <c r="R187" s="7"/>
      <c r="S187" s="7"/>
      <c r="T187" s="7"/>
      <c r="U187" s="7"/>
      <c r="V187" s="7"/>
      <c r="W187" s="7"/>
      <c r="X187" s="7"/>
      <c r="Y187" s="7"/>
    </row>
    <row r="188" spans="1:25" ht="15.75" customHeight="1">
      <c r="A188" s="7"/>
      <c r="B188" s="7"/>
      <c r="C188" s="30"/>
      <c r="D188" s="30"/>
      <c r="E188" s="30"/>
      <c r="F188" s="30"/>
      <c r="G188" s="30"/>
      <c r="H188" s="30"/>
      <c r="I188" s="7"/>
      <c r="J188" s="7"/>
      <c r="K188" s="7"/>
      <c r="L188" s="7"/>
      <c r="M188" s="7"/>
      <c r="N188" s="7"/>
      <c r="O188" s="7"/>
      <c r="P188" s="7"/>
      <c r="Q188" s="7"/>
      <c r="R188" s="7"/>
      <c r="S188" s="7"/>
      <c r="T188" s="7"/>
      <c r="U188" s="7"/>
      <c r="V188" s="7"/>
      <c r="W188" s="7"/>
      <c r="X188" s="7"/>
      <c r="Y188" s="7"/>
    </row>
    <row r="189" spans="1:25" ht="15.75" customHeight="1">
      <c r="A189" s="7"/>
      <c r="B189" s="7"/>
      <c r="C189" s="30"/>
      <c r="D189" s="30"/>
      <c r="E189" s="30"/>
      <c r="F189" s="30"/>
      <c r="G189" s="30"/>
      <c r="H189" s="30"/>
      <c r="I189" s="7"/>
      <c r="J189" s="7"/>
      <c r="K189" s="7"/>
      <c r="L189" s="7"/>
      <c r="M189" s="7"/>
      <c r="N189" s="7"/>
      <c r="O189" s="7"/>
      <c r="P189" s="7"/>
      <c r="Q189" s="7"/>
      <c r="R189" s="7"/>
      <c r="S189" s="7"/>
      <c r="T189" s="7"/>
      <c r="U189" s="7"/>
      <c r="V189" s="7"/>
      <c r="W189" s="7"/>
      <c r="X189" s="7"/>
      <c r="Y189" s="7"/>
    </row>
    <row r="190" spans="1:25" ht="15.75" customHeight="1">
      <c r="A190" s="7"/>
      <c r="B190" s="7"/>
      <c r="C190" s="30"/>
      <c r="D190" s="30"/>
      <c r="E190" s="30"/>
      <c r="F190" s="30"/>
      <c r="G190" s="30"/>
      <c r="H190" s="30"/>
      <c r="I190" s="7"/>
      <c r="J190" s="7"/>
      <c r="K190" s="7"/>
      <c r="L190" s="7"/>
      <c r="M190" s="7"/>
      <c r="N190" s="7"/>
      <c r="O190" s="7"/>
      <c r="P190" s="7"/>
      <c r="Q190" s="7"/>
      <c r="R190" s="7"/>
      <c r="S190" s="7"/>
      <c r="T190" s="7"/>
      <c r="U190" s="7"/>
      <c r="V190" s="7"/>
      <c r="W190" s="7"/>
      <c r="X190" s="7"/>
      <c r="Y190" s="7"/>
    </row>
    <row r="191" spans="1:25" ht="15.75" customHeight="1">
      <c r="A191" s="7"/>
      <c r="B191" s="7"/>
      <c r="C191" s="30"/>
      <c r="D191" s="30"/>
      <c r="E191" s="30"/>
      <c r="F191" s="30"/>
      <c r="G191" s="30"/>
      <c r="H191" s="30"/>
      <c r="I191" s="7"/>
      <c r="J191" s="7"/>
      <c r="K191" s="7"/>
      <c r="L191" s="7"/>
      <c r="M191" s="7"/>
      <c r="N191" s="7"/>
      <c r="O191" s="7"/>
      <c r="P191" s="7"/>
      <c r="Q191" s="7"/>
      <c r="R191" s="7"/>
      <c r="S191" s="7"/>
      <c r="T191" s="7"/>
      <c r="U191" s="7"/>
      <c r="V191" s="7"/>
      <c r="W191" s="7"/>
      <c r="X191" s="7"/>
      <c r="Y191" s="7"/>
    </row>
    <row r="192" spans="1:25" ht="15.75" customHeight="1">
      <c r="A192" s="7"/>
      <c r="B192" s="7"/>
      <c r="C192" s="30"/>
      <c r="D192" s="30"/>
      <c r="E192" s="30"/>
      <c r="F192" s="30"/>
      <c r="G192" s="30"/>
      <c r="H192" s="30"/>
      <c r="I192" s="7"/>
      <c r="J192" s="7"/>
      <c r="K192" s="7"/>
      <c r="L192" s="7"/>
      <c r="M192" s="7"/>
      <c r="N192" s="7"/>
      <c r="O192" s="7"/>
      <c r="P192" s="7"/>
      <c r="Q192" s="7"/>
      <c r="R192" s="7"/>
      <c r="S192" s="7"/>
      <c r="T192" s="7"/>
      <c r="U192" s="7"/>
      <c r="V192" s="7"/>
      <c r="W192" s="7"/>
      <c r="X192" s="7"/>
      <c r="Y192" s="7"/>
    </row>
    <row r="193" spans="1:25" ht="15.75" customHeight="1">
      <c r="A193" s="7"/>
      <c r="B193" s="7"/>
      <c r="C193" s="30"/>
      <c r="D193" s="30"/>
      <c r="E193" s="30"/>
      <c r="F193" s="30"/>
      <c r="G193" s="30"/>
      <c r="H193" s="30"/>
      <c r="I193" s="7"/>
      <c r="J193" s="7"/>
      <c r="K193" s="7"/>
      <c r="L193" s="7"/>
      <c r="M193" s="7"/>
      <c r="N193" s="7"/>
      <c r="O193" s="7"/>
      <c r="P193" s="7"/>
      <c r="Q193" s="7"/>
      <c r="R193" s="7"/>
      <c r="S193" s="7"/>
      <c r="T193" s="7"/>
      <c r="U193" s="7"/>
      <c r="V193" s="7"/>
      <c r="W193" s="7"/>
      <c r="X193" s="7"/>
      <c r="Y193" s="7"/>
    </row>
    <row r="194" spans="1:25" ht="15.75" customHeight="1">
      <c r="A194" s="7"/>
      <c r="B194" s="7"/>
      <c r="C194" s="30"/>
      <c r="D194" s="30"/>
      <c r="E194" s="30"/>
      <c r="F194" s="30"/>
      <c r="G194" s="30"/>
      <c r="H194" s="30"/>
      <c r="I194" s="7"/>
      <c r="J194" s="7"/>
      <c r="K194" s="7"/>
      <c r="L194" s="7"/>
      <c r="M194" s="7"/>
      <c r="N194" s="7"/>
      <c r="O194" s="7"/>
      <c r="P194" s="7"/>
      <c r="Q194" s="7"/>
      <c r="R194" s="7"/>
      <c r="S194" s="7"/>
      <c r="T194" s="7"/>
      <c r="U194" s="7"/>
      <c r="V194" s="7"/>
      <c r="W194" s="7"/>
      <c r="X194" s="7"/>
      <c r="Y194" s="7"/>
    </row>
    <row r="195" spans="1:25" ht="15.75" customHeight="1">
      <c r="A195" s="7"/>
      <c r="B195" s="7"/>
      <c r="C195" s="30"/>
      <c r="D195" s="30"/>
      <c r="E195" s="30"/>
      <c r="F195" s="30"/>
      <c r="G195" s="30"/>
      <c r="H195" s="30"/>
      <c r="I195" s="7"/>
      <c r="J195" s="7"/>
      <c r="K195" s="7"/>
      <c r="L195" s="7"/>
      <c r="M195" s="7"/>
      <c r="N195" s="7"/>
      <c r="O195" s="7"/>
      <c r="P195" s="7"/>
      <c r="Q195" s="7"/>
      <c r="R195" s="7"/>
      <c r="S195" s="7"/>
      <c r="T195" s="7"/>
      <c r="U195" s="7"/>
      <c r="V195" s="7"/>
      <c r="W195" s="7"/>
      <c r="X195" s="7"/>
      <c r="Y195" s="7"/>
    </row>
    <row r="196" spans="1:25" ht="15.75" customHeight="1">
      <c r="A196" s="7"/>
      <c r="B196" s="7"/>
      <c r="C196" s="30"/>
      <c r="D196" s="30"/>
      <c r="E196" s="30"/>
      <c r="F196" s="30"/>
      <c r="G196" s="30"/>
      <c r="H196" s="30"/>
      <c r="I196" s="7"/>
      <c r="J196" s="7"/>
      <c r="K196" s="7"/>
      <c r="L196" s="7"/>
      <c r="M196" s="7"/>
      <c r="N196" s="7"/>
      <c r="O196" s="7"/>
      <c r="P196" s="7"/>
      <c r="Q196" s="7"/>
      <c r="R196" s="7"/>
      <c r="S196" s="7"/>
      <c r="T196" s="7"/>
      <c r="U196" s="7"/>
      <c r="V196" s="7"/>
      <c r="W196" s="7"/>
      <c r="X196" s="7"/>
      <c r="Y196" s="7"/>
    </row>
    <row r="197" spans="1:25" ht="15.75" customHeight="1">
      <c r="A197" s="7"/>
      <c r="B197" s="7"/>
      <c r="C197" s="30"/>
      <c r="D197" s="30"/>
      <c r="E197" s="30"/>
      <c r="F197" s="30"/>
      <c r="G197" s="30"/>
      <c r="H197" s="30"/>
      <c r="I197" s="7"/>
      <c r="J197" s="7"/>
      <c r="K197" s="7"/>
      <c r="L197" s="7"/>
      <c r="M197" s="7"/>
      <c r="N197" s="7"/>
      <c r="O197" s="7"/>
      <c r="P197" s="7"/>
      <c r="Q197" s="7"/>
      <c r="R197" s="7"/>
      <c r="S197" s="7"/>
      <c r="T197" s="7"/>
      <c r="U197" s="7"/>
      <c r="V197" s="7"/>
      <c r="W197" s="7"/>
      <c r="X197" s="7"/>
      <c r="Y197" s="7"/>
    </row>
    <row r="198" spans="1:25" ht="15.75" customHeight="1">
      <c r="A198" s="7"/>
      <c r="B198" s="7"/>
      <c r="C198" s="30"/>
      <c r="D198" s="30"/>
      <c r="E198" s="30"/>
      <c r="F198" s="30"/>
      <c r="G198" s="30"/>
      <c r="H198" s="30"/>
      <c r="I198" s="7"/>
      <c r="J198" s="7"/>
      <c r="K198" s="7"/>
      <c r="L198" s="7"/>
      <c r="M198" s="7"/>
      <c r="N198" s="7"/>
      <c r="O198" s="7"/>
      <c r="P198" s="7"/>
      <c r="Q198" s="7"/>
      <c r="R198" s="7"/>
      <c r="S198" s="7"/>
      <c r="T198" s="7"/>
      <c r="U198" s="7"/>
      <c r="V198" s="7"/>
      <c r="W198" s="7"/>
      <c r="X198" s="7"/>
      <c r="Y198" s="7"/>
    </row>
    <row r="199" spans="1:25" ht="15.75" customHeight="1">
      <c r="A199" s="7"/>
      <c r="B199" s="7"/>
      <c r="C199" s="30"/>
      <c r="D199" s="30"/>
      <c r="E199" s="30"/>
      <c r="F199" s="30"/>
      <c r="G199" s="30"/>
      <c r="H199" s="30"/>
      <c r="I199" s="7"/>
      <c r="J199" s="7"/>
      <c r="K199" s="7"/>
      <c r="L199" s="7"/>
      <c r="M199" s="7"/>
      <c r="N199" s="7"/>
      <c r="O199" s="7"/>
      <c r="P199" s="7"/>
      <c r="Q199" s="7"/>
      <c r="R199" s="7"/>
      <c r="S199" s="7"/>
      <c r="T199" s="7"/>
      <c r="U199" s="7"/>
      <c r="V199" s="7"/>
      <c r="W199" s="7"/>
      <c r="X199" s="7"/>
      <c r="Y199" s="7"/>
    </row>
    <row r="200" spans="1:25" ht="15.75" customHeight="1">
      <c r="A200" s="7"/>
      <c r="B200" s="7"/>
      <c r="C200" s="30"/>
      <c r="D200" s="30"/>
      <c r="E200" s="30"/>
      <c r="F200" s="30"/>
      <c r="G200" s="30"/>
      <c r="H200" s="30"/>
      <c r="I200" s="7"/>
      <c r="J200" s="7"/>
      <c r="K200" s="7"/>
      <c r="L200" s="7"/>
      <c r="M200" s="7"/>
      <c r="N200" s="7"/>
      <c r="O200" s="7"/>
      <c r="P200" s="7"/>
      <c r="Q200" s="7"/>
      <c r="R200" s="7"/>
      <c r="S200" s="7"/>
      <c r="T200" s="7"/>
      <c r="U200" s="7"/>
      <c r="V200" s="7"/>
      <c r="W200" s="7"/>
      <c r="X200" s="7"/>
      <c r="Y200" s="7"/>
    </row>
    <row r="201" spans="1:25" ht="15.75" customHeight="1">
      <c r="A201" s="7"/>
      <c r="B201" s="7"/>
      <c r="C201" s="30"/>
      <c r="D201" s="30"/>
      <c r="E201" s="30"/>
      <c r="F201" s="30"/>
      <c r="G201" s="30"/>
      <c r="H201" s="30"/>
      <c r="I201" s="7"/>
      <c r="J201" s="7"/>
      <c r="K201" s="7"/>
      <c r="L201" s="7"/>
      <c r="M201" s="7"/>
      <c r="N201" s="7"/>
      <c r="O201" s="7"/>
      <c r="P201" s="7"/>
      <c r="Q201" s="7"/>
      <c r="R201" s="7"/>
      <c r="S201" s="7"/>
      <c r="T201" s="7"/>
      <c r="U201" s="7"/>
      <c r="V201" s="7"/>
      <c r="W201" s="7"/>
      <c r="X201" s="7"/>
      <c r="Y201" s="7"/>
    </row>
    <row r="202" spans="1:25" ht="15.75" customHeight="1">
      <c r="A202" s="7"/>
      <c r="B202" s="7"/>
      <c r="C202" s="30"/>
      <c r="D202" s="30"/>
      <c r="E202" s="30"/>
      <c r="F202" s="30"/>
      <c r="G202" s="30"/>
      <c r="H202" s="30"/>
      <c r="I202" s="7"/>
      <c r="J202" s="7"/>
      <c r="K202" s="7"/>
      <c r="L202" s="7"/>
      <c r="M202" s="7"/>
      <c r="N202" s="7"/>
      <c r="O202" s="7"/>
      <c r="P202" s="7"/>
      <c r="Q202" s="7"/>
      <c r="R202" s="7"/>
      <c r="S202" s="7"/>
      <c r="T202" s="7"/>
      <c r="U202" s="7"/>
      <c r="V202" s="7"/>
      <c r="W202" s="7"/>
      <c r="X202" s="7"/>
      <c r="Y202" s="7"/>
    </row>
    <row r="203" spans="1:25" ht="15.75" customHeight="1">
      <c r="A203" s="7"/>
      <c r="B203" s="7"/>
      <c r="C203" s="30"/>
      <c r="D203" s="30"/>
      <c r="E203" s="30"/>
      <c r="F203" s="30"/>
      <c r="G203" s="30"/>
      <c r="H203" s="30"/>
      <c r="I203" s="7"/>
      <c r="J203" s="7"/>
      <c r="K203" s="7"/>
      <c r="L203" s="7"/>
      <c r="M203" s="7"/>
      <c r="N203" s="7"/>
      <c r="O203" s="7"/>
      <c r="P203" s="7"/>
      <c r="Q203" s="7"/>
      <c r="R203" s="7"/>
      <c r="S203" s="7"/>
      <c r="T203" s="7"/>
      <c r="U203" s="7"/>
      <c r="V203" s="7"/>
      <c r="W203" s="7"/>
      <c r="X203" s="7"/>
      <c r="Y203" s="7"/>
    </row>
    <row r="204" spans="1:25" ht="15.75" customHeight="1">
      <c r="A204" s="7"/>
      <c r="B204" s="7"/>
      <c r="C204" s="30"/>
      <c r="D204" s="30"/>
      <c r="E204" s="30"/>
      <c r="F204" s="30"/>
      <c r="G204" s="30"/>
      <c r="H204" s="30"/>
      <c r="I204" s="7"/>
      <c r="J204" s="7"/>
      <c r="K204" s="7"/>
      <c r="L204" s="7"/>
      <c r="M204" s="7"/>
      <c r="N204" s="7"/>
      <c r="O204" s="7"/>
      <c r="P204" s="7"/>
      <c r="Q204" s="7"/>
      <c r="R204" s="7"/>
      <c r="S204" s="7"/>
      <c r="T204" s="7"/>
      <c r="U204" s="7"/>
      <c r="V204" s="7"/>
      <c r="W204" s="7"/>
      <c r="X204" s="7"/>
      <c r="Y204" s="7"/>
    </row>
    <row r="205" spans="1:25" ht="15.75" customHeight="1">
      <c r="A205" s="7"/>
      <c r="B205" s="7"/>
      <c r="C205" s="30"/>
      <c r="D205" s="30"/>
      <c r="E205" s="30"/>
      <c r="F205" s="30"/>
      <c r="G205" s="30"/>
      <c r="H205" s="30"/>
      <c r="I205" s="7"/>
      <c r="J205" s="7"/>
      <c r="K205" s="7"/>
      <c r="L205" s="7"/>
      <c r="M205" s="7"/>
      <c r="N205" s="7"/>
      <c r="O205" s="7"/>
      <c r="P205" s="7"/>
      <c r="Q205" s="7"/>
      <c r="R205" s="7"/>
      <c r="S205" s="7"/>
      <c r="T205" s="7"/>
      <c r="U205" s="7"/>
      <c r="V205" s="7"/>
      <c r="W205" s="7"/>
      <c r="X205" s="7"/>
      <c r="Y205" s="7"/>
    </row>
    <row r="206" spans="1:25" ht="15.75" customHeight="1">
      <c r="A206" s="7"/>
      <c r="B206" s="7"/>
      <c r="C206" s="30"/>
      <c r="D206" s="30"/>
      <c r="E206" s="30"/>
      <c r="F206" s="30"/>
      <c r="G206" s="30"/>
      <c r="H206" s="30"/>
      <c r="I206" s="7"/>
      <c r="J206" s="7"/>
      <c r="K206" s="7"/>
      <c r="L206" s="7"/>
      <c r="M206" s="7"/>
      <c r="N206" s="7"/>
      <c r="O206" s="7"/>
      <c r="P206" s="7"/>
      <c r="Q206" s="7"/>
      <c r="R206" s="7"/>
      <c r="S206" s="7"/>
      <c r="T206" s="7"/>
      <c r="U206" s="7"/>
      <c r="V206" s="7"/>
      <c r="W206" s="7"/>
      <c r="X206" s="7"/>
      <c r="Y206" s="7"/>
    </row>
    <row r="207" spans="1:25" ht="15.75" customHeight="1">
      <c r="A207" s="7"/>
      <c r="B207" s="7"/>
      <c r="C207" s="30"/>
      <c r="D207" s="30"/>
      <c r="E207" s="30"/>
      <c r="F207" s="30"/>
      <c r="G207" s="30"/>
      <c r="H207" s="30"/>
      <c r="I207" s="7"/>
      <c r="J207" s="7"/>
      <c r="K207" s="7"/>
      <c r="L207" s="7"/>
      <c r="M207" s="7"/>
      <c r="N207" s="7"/>
      <c r="O207" s="7"/>
      <c r="P207" s="7"/>
      <c r="Q207" s="7"/>
      <c r="R207" s="7"/>
      <c r="S207" s="7"/>
      <c r="T207" s="7"/>
      <c r="U207" s="7"/>
      <c r="V207" s="7"/>
      <c r="W207" s="7"/>
      <c r="X207" s="7"/>
      <c r="Y207" s="7"/>
    </row>
    <row r="208" spans="1:25" ht="15.75" customHeight="1">
      <c r="A208" s="7"/>
      <c r="B208" s="7"/>
      <c r="C208" s="30"/>
      <c r="D208" s="30"/>
      <c r="E208" s="30"/>
      <c r="F208" s="30"/>
      <c r="G208" s="30"/>
      <c r="H208" s="30"/>
      <c r="I208" s="7"/>
      <c r="J208" s="7"/>
      <c r="K208" s="7"/>
      <c r="L208" s="7"/>
      <c r="M208" s="7"/>
      <c r="N208" s="7"/>
      <c r="O208" s="7"/>
      <c r="P208" s="7"/>
      <c r="Q208" s="7"/>
      <c r="R208" s="7"/>
      <c r="S208" s="7"/>
      <c r="T208" s="7"/>
      <c r="U208" s="7"/>
      <c r="V208" s="7"/>
      <c r="W208" s="7"/>
      <c r="X208" s="7"/>
      <c r="Y208" s="7"/>
    </row>
    <row r="209" spans="1:25" ht="15.75" customHeight="1">
      <c r="A209" s="7"/>
      <c r="B209" s="7"/>
      <c r="C209" s="30"/>
      <c r="D209" s="30"/>
      <c r="E209" s="30"/>
      <c r="F209" s="30"/>
      <c r="G209" s="30"/>
      <c r="H209" s="30"/>
      <c r="I209" s="7"/>
      <c r="J209" s="7"/>
      <c r="K209" s="7"/>
      <c r="L209" s="7"/>
      <c r="M209" s="7"/>
      <c r="N209" s="7"/>
      <c r="O209" s="7"/>
      <c r="P209" s="7"/>
      <c r="Q209" s="7"/>
      <c r="R209" s="7"/>
      <c r="S209" s="7"/>
      <c r="T209" s="7"/>
      <c r="U209" s="7"/>
      <c r="V209" s="7"/>
      <c r="W209" s="7"/>
      <c r="X209" s="7"/>
      <c r="Y209" s="7"/>
    </row>
    <row r="210" spans="1:25" ht="15.75" customHeight="1">
      <c r="A210" s="7"/>
      <c r="B210" s="7"/>
      <c r="C210" s="30"/>
      <c r="D210" s="30"/>
      <c r="E210" s="30"/>
      <c r="F210" s="30"/>
      <c r="G210" s="30"/>
      <c r="H210" s="30"/>
      <c r="I210" s="7"/>
      <c r="J210" s="7"/>
      <c r="K210" s="7"/>
      <c r="L210" s="7"/>
      <c r="M210" s="7"/>
      <c r="N210" s="7"/>
      <c r="O210" s="7"/>
      <c r="P210" s="7"/>
      <c r="Q210" s="7"/>
      <c r="R210" s="7"/>
      <c r="S210" s="7"/>
      <c r="T210" s="7"/>
      <c r="U210" s="7"/>
      <c r="V210" s="7"/>
      <c r="W210" s="7"/>
      <c r="X210" s="7"/>
      <c r="Y210" s="7"/>
    </row>
    <row r="211" spans="1:25" ht="15.75" customHeight="1">
      <c r="A211" s="7"/>
      <c r="B211" s="7"/>
      <c r="C211" s="30"/>
      <c r="D211" s="30"/>
      <c r="E211" s="30"/>
      <c r="F211" s="30"/>
      <c r="G211" s="30"/>
      <c r="H211" s="30"/>
      <c r="I211" s="7"/>
      <c r="J211" s="7"/>
      <c r="K211" s="7"/>
      <c r="L211" s="7"/>
      <c r="M211" s="7"/>
      <c r="N211" s="7"/>
      <c r="O211" s="7"/>
      <c r="P211" s="7"/>
      <c r="Q211" s="7"/>
      <c r="R211" s="7"/>
      <c r="S211" s="7"/>
      <c r="T211" s="7"/>
      <c r="U211" s="7"/>
      <c r="V211" s="7"/>
      <c r="W211" s="7"/>
      <c r="X211" s="7"/>
      <c r="Y211" s="7"/>
    </row>
    <row r="212" spans="1:25" ht="15.75" customHeight="1">
      <c r="A212" s="7"/>
      <c r="B212" s="7"/>
      <c r="C212" s="30"/>
      <c r="D212" s="30"/>
      <c r="E212" s="30"/>
      <c r="F212" s="30"/>
      <c r="G212" s="30"/>
      <c r="H212" s="30"/>
      <c r="I212" s="7"/>
      <c r="J212" s="7"/>
      <c r="K212" s="7"/>
      <c r="L212" s="7"/>
      <c r="M212" s="7"/>
      <c r="N212" s="7"/>
      <c r="O212" s="7"/>
      <c r="P212" s="7"/>
      <c r="Q212" s="7"/>
      <c r="R212" s="7"/>
      <c r="S212" s="7"/>
      <c r="T212" s="7"/>
      <c r="U212" s="7"/>
      <c r="V212" s="7"/>
      <c r="W212" s="7"/>
      <c r="X212" s="7"/>
      <c r="Y212" s="7"/>
    </row>
    <row r="213" spans="1:25" ht="15.75" customHeight="1">
      <c r="A213" s="7"/>
      <c r="B213" s="7"/>
      <c r="C213" s="30"/>
      <c r="D213" s="30"/>
      <c r="E213" s="30"/>
      <c r="F213" s="30"/>
      <c r="G213" s="30"/>
      <c r="H213" s="30"/>
      <c r="I213" s="7"/>
      <c r="J213" s="7"/>
      <c r="K213" s="7"/>
      <c r="L213" s="7"/>
      <c r="M213" s="7"/>
      <c r="N213" s="7"/>
      <c r="O213" s="7"/>
      <c r="P213" s="7"/>
      <c r="Q213" s="7"/>
      <c r="R213" s="7"/>
      <c r="S213" s="7"/>
      <c r="T213" s="7"/>
      <c r="U213" s="7"/>
      <c r="V213" s="7"/>
      <c r="W213" s="7"/>
      <c r="X213" s="7"/>
      <c r="Y213" s="7"/>
    </row>
    <row r="214" spans="1:25" ht="15.75" customHeight="1">
      <c r="A214" s="7"/>
      <c r="B214" s="7"/>
      <c r="C214" s="30"/>
      <c r="D214" s="30"/>
      <c r="E214" s="30"/>
      <c r="F214" s="30"/>
      <c r="G214" s="30"/>
      <c r="H214" s="30"/>
      <c r="I214" s="7"/>
      <c r="J214" s="7"/>
      <c r="K214" s="7"/>
      <c r="L214" s="7"/>
      <c r="M214" s="7"/>
      <c r="N214" s="7"/>
      <c r="O214" s="7"/>
      <c r="P214" s="7"/>
      <c r="Q214" s="7"/>
      <c r="R214" s="7"/>
      <c r="S214" s="7"/>
      <c r="T214" s="7"/>
      <c r="U214" s="7"/>
      <c r="V214" s="7"/>
      <c r="W214" s="7"/>
      <c r="X214" s="7"/>
      <c r="Y214" s="7"/>
    </row>
    <row r="215" spans="1:25" ht="15.75" customHeight="1">
      <c r="A215" s="7"/>
      <c r="B215" s="7"/>
      <c r="C215" s="30"/>
      <c r="D215" s="30"/>
      <c r="E215" s="30"/>
      <c r="F215" s="30"/>
      <c r="G215" s="30"/>
      <c r="H215" s="30"/>
      <c r="I215" s="7"/>
      <c r="J215" s="7"/>
      <c r="K215" s="7"/>
      <c r="L215" s="7"/>
      <c r="M215" s="7"/>
      <c r="N215" s="7"/>
      <c r="O215" s="7"/>
      <c r="P215" s="7"/>
      <c r="Q215" s="7"/>
      <c r="R215" s="7"/>
      <c r="S215" s="7"/>
      <c r="T215" s="7"/>
      <c r="U215" s="7"/>
      <c r="V215" s="7"/>
      <c r="W215" s="7"/>
      <c r="X215" s="7"/>
      <c r="Y215" s="7"/>
    </row>
    <row r="216" spans="1:25" ht="15.75" customHeight="1">
      <c r="A216" s="7"/>
      <c r="B216" s="7"/>
      <c r="C216" s="30"/>
      <c r="D216" s="30"/>
      <c r="E216" s="30"/>
      <c r="F216" s="30"/>
      <c r="G216" s="30"/>
      <c r="H216" s="30"/>
      <c r="I216" s="7"/>
      <c r="J216" s="7"/>
      <c r="K216" s="7"/>
      <c r="L216" s="7"/>
      <c r="M216" s="7"/>
      <c r="N216" s="7"/>
      <c r="O216" s="7"/>
      <c r="P216" s="7"/>
      <c r="Q216" s="7"/>
      <c r="R216" s="7"/>
      <c r="S216" s="7"/>
      <c r="T216" s="7"/>
      <c r="U216" s="7"/>
      <c r="V216" s="7"/>
      <c r="W216" s="7"/>
      <c r="X216" s="7"/>
      <c r="Y216" s="7"/>
    </row>
    <row r="217" spans="1:25" ht="15.75" customHeight="1">
      <c r="A217" s="7"/>
      <c r="B217" s="7"/>
      <c r="C217" s="30"/>
      <c r="D217" s="30"/>
      <c r="E217" s="30"/>
      <c r="F217" s="30"/>
      <c r="G217" s="30"/>
      <c r="H217" s="30"/>
      <c r="I217" s="7"/>
      <c r="J217" s="7"/>
      <c r="K217" s="7"/>
      <c r="L217" s="7"/>
      <c r="M217" s="7"/>
      <c r="N217" s="7"/>
      <c r="O217" s="7"/>
      <c r="P217" s="7"/>
      <c r="Q217" s="7"/>
      <c r="R217" s="7"/>
      <c r="S217" s="7"/>
      <c r="T217" s="7"/>
      <c r="U217" s="7"/>
      <c r="V217" s="7"/>
      <c r="W217" s="7"/>
      <c r="X217" s="7"/>
      <c r="Y217" s="7"/>
    </row>
    <row r="218" spans="1:25" ht="15.75" customHeight="1">
      <c r="A218" s="7"/>
      <c r="B218" s="7"/>
      <c r="C218" s="30"/>
      <c r="D218" s="30"/>
      <c r="E218" s="30"/>
      <c r="F218" s="30"/>
      <c r="G218" s="30"/>
      <c r="H218" s="30"/>
      <c r="I218" s="7"/>
      <c r="J218" s="7"/>
      <c r="K218" s="7"/>
      <c r="L218" s="7"/>
      <c r="M218" s="7"/>
      <c r="N218" s="7"/>
      <c r="O218" s="7"/>
      <c r="P218" s="7"/>
      <c r="Q218" s="7"/>
      <c r="R218" s="7"/>
      <c r="S218" s="7"/>
      <c r="T218" s="7"/>
      <c r="U218" s="7"/>
      <c r="V218" s="7"/>
      <c r="W218" s="7"/>
      <c r="X218" s="7"/>
      <c r="Y218" s="7"/>
    </row>
    <row r="219" spans="1:25" ht="15.75" customHeight="1">
      <c r="A219" s="7"/>
      <c r="B219" s="7"/>
      <c r="C219" s="30"/>
      <c r="D219" s="30"/>
      <c r="E219" s="30"/>
      <c r="F219" s="30"/>
      <c r="G219" s="30"/>
      <c r="H219" s="30"/>
      <c r="I219" s="7"/>
      <c r="J219" s="7"/>
      <c r="K219" s="7"/>
      <c r="L219" s="7"/>
      <c r="M219" s="7"/>
      <c r="N219" s="7"/>
      <c r="O219" s="7"/>
      <c r="P219" s="7"/>
      <c r="Q219" s="7"/>
      <c r="R219" s="7"/>
      <c r="S219" s="7"/>
      <c r="T219" s="7"/>
      <c r="U219" s="7"/>
      <c r="V219" s="7"/>
      <c r="W219" s="7"/>
      <c r="X219" s="7"/>
      <c r="Y219" s="7"/>
    </row>
    <row r="220" spans="1:25" ht="15.75" customHeight="1">
      <c r="A220" s="7"/>
      <c r="B220" s="7"/>
      <c r="C220" s="30"/>
      <c r="D220" s="30"/>
      <c r="E220" s="30"/>
      <c r="F220" s="30"/>
      <c r="G220" s="30"/>
      <c r="H220" s="30"/>
      <c r="I220" s="7"/>
      <c r="J220" s="7"/>
      <c r="K220" s="7"/>
      <c r="L220" s="7"/>
      <c r="M220" s="7"/>
      <c r="N220" s="7"/>
      <c r="O220" s="7"/>
      <c r="P220" s="7"/>
      <c r="Q220" s="7"/>
      <c r="R220" s="7"/>
      <c r="S220" s="7"/>
      <c r="T220" s="7"/>
      <c r="U220" s="7"/>
      <c r="V220" s="7"/>
      <c r="W220" s="7"/>
      <c r="X220" s="7"/>
      <c r="Y220" s="7"/>
    </row>
    <row r="221" spans="1:25" ht="15.75" customHeight="1">
      <c r="A221" s="7"/>
      <c r="B221" s="7"/>
      <c r="C221" s="30"/>
      <c r="D221" s="30"/>
      <c r="E221" s="30"/>
      <c r="F221" s="30"/>
      <c r="G221" s="30"/>
      <c r="H221" s="30"/>
      <c r="I221" s="7"/>
      <c r="J221" s="7"/>
      <c r="K221" s="7"/>
      <c r="L221" s="7"/>
      <c r="M221" s="7"/>
      <c r="N221" s="7"/>
      <c r="O221" s="7"/>
      <c r="P221" s="7"/>
      <c r="Q221" s="7"/>
      <c r="R221" s="7"/>
      <c r="S221" s="7"/>
      <c r="T221" s="7"/>
      <c r="U221" s="7"/>
      <c r="V221" s="7"/>
      <c r="W221" s="7"/>
      <c r="X221" s="7"/>
      <c r="Y221" s="7"/>
    </row>
    <row r="222" spans="1:25" ht="15.75" customHeight="1">
      <c r="A222" s="7"/>
      <c r="B222" s="7"/>
      <c r="C222" s="30"/>
      <c r="D222" s="30"/>
      <c r="E222" s="30"/>
      <c r="F222" s="30"/>
      <c r="G222" s="30"/>
      <c r="H222" s="30"/>
      <c r="I222" s="7"/>
      <c r="J222" s="7"/>
      <c r="K222" s="7"/>
      <c r="L222" s="7"/>
      <c r="M222" s="7"/>
      <c r="N222" s="7"/>
      <c r="O222" s="7"/>
      <c r="P222" s="7"/>
      <c r="Q222" s="7"/>
      <c r="R222" s="7"/>
      <c r="S222" s="7"/>
      <c r="T222" s="7"/>
      <c r="U222" s="7"/>
      <c r="V222" s="7"/>
      <c r="W222" s="7"/>
      <c r="X222" s="7"/>
      <c r="Y222" s="7"/>
    </row>
    <row r="223" spans="1:25" ht="15.75" customHeight="1">
      <c r="A223" s="7"/>
      <c r="B223" s="7"/>
      <c r="C223" s="30"/>
      <c r="D223" s="30"/>
      <c r="E223" s="30"/>
      <c r="F223" s="30"/>
      <c r="G223" s="30"/>
      <c r="H223" s="30"/>
      <c r="I223" s="7"/>
      <c r="J223" s="7"/>
      <c r="K223" s="7"/>
      <c r="L223" s="7"/>
      <c r="M223" s="7"/>
      <c r="N223" s="7"/>
      <c r="O223" s="7"/>
      <c r="P223" s="7"/>
      <c r="Q223" s="7"/>
      <c r="R223" s="7"/>
      <c r="S223" s="7"/>
      <c r="T223" s="7"/>
      <c r="U223" s="7"/>
      <c r="V223" s="7"/>
      <c r="W223" s="7"/>
      <c r="X223" s="7"/>
      <c r="Y223" s="7"/>
    </row>
    <row r="224" spans="1:25" ht="15.75" customHeight="1">
      <c r="A224" s="7"/>
      <c r="B224" s="7"/>
      <c r="C224" s="30"/>
      <c r="D224" s="30"/>
      <c r="E224" s="30"/>
      <c r="F224" s="30"/>
      <c r="G224" s="30"/>
      <c r="H224" s="30"/>
      <c r="I224" s="7"/>
      <c r="J224" s="7"/>
      <c r="K224" s="7"/>
      <c r="L224" s="7"/>
      <c r="M224" s="7"/>
      <c r="N224" s="7"/>
      <c r="O224" s="7"/>
      <c r="P224" s="7"/>
      <c r="Q224" s="7"/>
      <c r="R224" s="7"/>
      <c r="S224" s="7"/>
      <c r="T224" s="7"/>
      <c r="U224" s="7"/>
      <c r="V224" s="7"/>
      <c r="W224" s="7"/>
      <c r="X224" s="7"/>
      <c r="Y224" s="7"/>
    </row>
    <row r="225" spans="1:25" ht="15.75" customHeight="1">
      <c r="A225" s="7"/>
      <c r="B225" s="7"/>
      <c r="C225" s="30"/>
      <c r="D225" s="30"/>
      <c r="E225" s="30"/>
      <c r="F225" s="30"/>
      <c r="G225" s="30"/>
      <c r="H225" s="30"/>
      <c r="I225" s="7"/>
      <c r="J225" s="7"/>
      <c r="K225" s="7"/>
      <c r="L225" s="7"/>
      <c r="M225" s="7"/>
      <c r="N225" s="7"/>
      <c r="O225" s="7"/>
      <c r="P225" s="7"/>
      <c r="Q225" s="7"/>
      <c r="R225" s="7"/>
      <c r="S225" s="7"/>
      <c r="T225" s="7"/>
      <c r="U225" s="7"/>
      <c r="V225" s="7"/>
      <c r="W225" s="7"/>
      <c r="X225" s="7"/>
      <c r="Y225" s="7"/>
    </row>
    <row r="226" spans="1:25" ht="15.75" customHeight="1">
      <c r="A226" s="7"/>
      <c r="B226" s="7"/>
      <c r="C226" s="30"/>
      <c r="D226" s="30"/>
      <c r="E226" s="30"/>
      <c r="F226" s="30"/>
      <c r="G226" s="30"/>
      <c r="H226" s="30"/>
      <c r="I226" s="7"/>
      <c r="J226" s="7"/>
      <c r="K226" s="7"/>
      <c r="L226" s="7"/>
      <c r="M226" s="7"/>
      <c r="N226" s="7"/>
      <c r="O226" s="7"/>
      <c r="P226" s="7"/>
      <c r="Q226" s="7"/>
      <c r="R226" s="7"/>
      <c r="S226" s="7"/>
      <c r="T226" s="7"/>
      <c r="U226" s="7"/>
      <c r="V226" s="7"/>
      <c r="W226" s="7"/>
      <c r="X226" s="7"/>
      <c r="Y226" s="7"/>
    </row>
    <row r="227" spans="1:25" ht="15.75" customHeight="1">
      <c r="A227" s="7"/>
      <c r="B227" s="7"/>
      <c r="C227" s="30"/>
      <c r="D227" s="30"/>
      <c r="E227" s="30"/>
      <c r="F227" s="30"/>
      <c r="G227" s="30"/>
      <c r="H227" s="30"/>
      <c r="I227" s="7"/>
      <c r="J227" s="7"/>
      <c r="K227" s="7"/>
      <c r="L227" s="7"/>
      <c r="M227" s="7"/>
      <c r="N227" s="7"/>
      <c r="O227" s="7"/>
      <c r="P227" s="7"/>
      <c r="Q227" s="7"/>
      <c r="R227" s="7"/>
      <c r="S227" s="7"/>
      <c r="T227" s="7"/>
      <c r="U227" s="7"/>
      <c r="V227" s="7"/>
      <c r="W227" s="7"/>
      <c r="X227" s="7"/>
      <c r="Y227" s="7"/>
    </row>
    <row r="228" spans="1:25" ht="15.75" customHeight="1">
      <c r="A228" s="7"/>
      <c r="B228" s="7"/>
      <c r="C228" s="30"/>
      <c r="D228" s="30"/>
      <c r="E228" s="30"/>
      <c r="F228" s="30"/>
      <c r="G228" s="30"/>
      <c r="H228" s="30"/>
      <c r="I228" s="7"/>
      <c r="J228" s="7"/>
      <c r="K228" s="7"/>
      <c r="L228" s="7"/>
      <c r="M228" s="7"/>
      <c r="N228" s="7"/>
      <c r="O228" s="7"/>
      <c r="P228" s="7"/>
      <c r="Q228" s="7"/>
      <c r="R228" s="7"/>
      <c r="S228" s="7"/>
      <c r="T228" s="7"/>
      <c r="U228" s="7"/>
      <c r="V228" s="7"/>
      <c r="W228" s="7"/>
      <c r="X228" s="7"/>
      <c r="Y228" s="7"/>
    </row>
    <row r="229" spans="1:25" ht="15.75" customHeight="1">
      <c r="A229" s="7"/>
      <c r="B229" s="7"/>
      <c r="C229" s="30"/>
      <c r="D229" s="30"/>
      <c r="E229" s="30"/>
      <c r="F229" s="30"/>
      <c r="G229" s="30"/>
      <c r="H229" s="30"/>
      <c r="I229" s="7"/>
      <c r="J229" s="7"/>
      <c r="K229" s="7"/>
      <c r="L229" s="7"/>
      <c r="M229" s="7"/>
      <c r="N229" s="7"/>
      <c r="O229" s="7"/>
      <c r="P229" s="7"/>
      <c r="Q229" s="7"/>
      <c r="R229" s="7"/>
      <c r="S229" s="7"/>
      <c r="T229" s="7"/>
      <c r="U229" s="7"/>
      <c r="V229" s="7"/>
      <c r="W229" s="7"/>
      <c r="X229" s="7"/>
      <c r="Y229" s="7"/>
    </row>
    <row r="230" spans="1:25" ht="15.75" customHeight="1">
      <c r="A230" s="7"/>
      <c r="B230" s="7"/>
      <c r="C230" s="30"/>
      <c r="D230" s="30"/>
      <c r="E230" s="30"/>
      <c r="F230" s="30"/>
      <c r="G230" s="30"/>
      <c r="H230" s="30"/>
      <c r="I230" s="7"/>
      <c r="J230" s="7"/>
      <c r="K230" s="7"/>
      <c r="L230" s="7"/>
      <c r="M230" s="7"/>
      <c r="N230" s="7"/>
      <c r="O230" s="7"/>
      <c r="P230" s="7"/>
      <c r="Q230" s="7"/>
      <c r="R230" s="7"/>
      <c r="S230" s="7"/>
      <c r="T230" s="7"/>
      <c r="U230" s="7"/>
      <c r="V230" s="7"/>
      <c r="W230" s="7"/>
      <c r="X230" s="7"/>
      <c r="Y230" s="7"/>
    </row>
    <row r="231" spans="1:25" ht="15.75" customHeight="1">
      <c r="A231" s="7"/>
      <c r="B231" s="7"/>
      <c r="C231" s="30"/>
      <c r="D231" s="30"/>
      <c r="E231" s="30"/>
      <c r="F231" s="30"/>
      <c r="G231" s="30"/>
      <c r="H231" s="30"/>
      <c r="I231" s="7"/>
      <c r="J231" s="7"/>
      <c r="K231" s="7"/>
      <c r="L231" s="7"/>
      <c r="M231" s="7"/>
      <c r="N231" s="7"/>
      <c r="O231" s="7"/>
      <c r="P231" s="7"/>
      <c r="Q231" s="7"/>
      <c r="R231" s="7"/>
      <c r="S231" s="7"/>
      <c r="T231" s="7"/>
      <c r="U231" s="7"/>
      <c r="V231" s="7"/>
      <c r="W231" s="7"/>
      <c r="X231" s="7"/>
      <c r="Y231" s="7"/>
    </row>
    <row r="232" spans="1:25" ht="15.75" customHeight="1">
      <c r="A232" s="7"/>
      <c r="B232" s="7"/>
      <c r="C232" s="30"/>
      <c r="D232" s="30"/>
      <c r="E232" s="30"/>
      <c r="F232" s="30"/>
      <c r="G232" s="30"/>
      <c r="H232" s="30"/>
      <c r="I232" s="7"/>
      <c r="J232" s="7"/>
      <c r="K232" s="7"/>
      <c r="L232" s="7"/>
      <c r="M232" s="7"/>
      <c r="N232" s="7"/>
      <c r="O232" s="7"/>
      <c r="P232" s="7"/>
      <c r="Q232" s="7"/>
      <c r="R232" s="7"/>
      <c r="S232" s="7"/>
      <c r="T232" s="7"/>
      <c r="U232" s="7"/>
      <c r="V232" s="7"/>
      <c r="W232" s="7"/>
      <c r="X232" s="7"/>
      <c r="Y232" s="7"/>
    </row>
    <row r="233" spans="1:25" ht="15.75" customHeight="1">
      <c r="A233" s="7"/>
      <c r="B233" s="7"/>
      <c r="C233" s="30"/>
      <c r="D233" s="30"/>
      <c r="E233" s="30"/>
      <c r="F233" s="30"/>
      <c r="G233" s="30"/>
      <c r="H233" s="30"/>
      <c r="I233" s="7"/>
      <c r="J233" s="7"/>
      <c r="K233" s="7"/>
      <c r="L233" s="7"/>
      <c r="M233" s="7"/>
      <c r="N233" s="7"/>
      <c r="O233" s="7"/>
      <c r="P233" s="7"/>
      <c r="Q233" s="7"/>
      <c r="R233" s="7"/>
      <c r="S233" s="7"/>
      <c r="T233" s="7"/>
      <c r="U233" s="7"/>
      <c r="V233" s="7"/>
      <c r="W233" s="7"/>
      <c r="X233" s="7"/>
      <c r="Y233" s="7"/>
    </row>
    <row r="234" spans="1:25" ht="15.75" customHeight="1">
      <c r="A234" s="7"/>
      <c r="B234" s="7"/>
      <c r="C234" s="30"/>
      <c r="D234" s="30"/>
      <c r="E234" s="30"/>
      <c r="F234" s="30"/>
      <c r="G234" s="30"/>
      <c r="H234" s="30"/>
      <c r="I234" s="7"/>
      <c r="J234" s="7"/>
      <c r="K234" s="7"/>
      <c r="L234" s="7"/>
      <c r="M234" s="7"/>
      <c r="N234" s="7"/>
      <c r="O234" s="7"/>
      <c r="P234" s="7"/>
      <c r="Q234" s="7"/>
      <c r="R234" s="7"/>
      <c r="S234" s="7"/>
      <c r="T234" s="7"/>
      <c r="U234" s="7"/>
      <c r="V234" s="7"/>
      <c r="W234" s="7"/>
      <c r="X234" s="7"/>
      <c r="Y234" s="7"/>
    </row>
    <row r="235" spans="1:25" ht="15.75" customHeight="1">
      <c r="A235" s="7"/>
      <c r="B235" s="7"/>
      <c r="C235" s="30"/>
      <c r="D235" s="30"/>
      <c r="E235" s="30"/>
      <c r="F235" s="30"/>
      <c r="G235" s="30"/>
      <c r="H235" s="30"/>
      <c r="I235" s="7"/>
      <c r="J235" s="7"/>
      <c r="K235" s="7"/>
      <c r="L235" s="7"/>
      <c r="M235" s="7"/>
      <c r="N235" s="7"/>
      <c r="O235" s="7"/>
      <c r="P235" s="7"/>
      <c r="Q235" s="7"/>
      <c r="R235" s="7"/>
      <c r="S235" s="7"/>
      <c r="T235" s="7"/>
      <c r="U235" s="7"/>
      <c r="V235" s="7"/>
      <c r="W235" s="7"/>
      <c r="X235" s="7"/>
      <c r="Y235" s="7"/>
    </row>
    <row r="236" spans="1:25" ht="15.75" customHeight="1">
      <c r="A236" s="7"/>
      <c r="B236" s="7"/>
      <c r="C236" s="30"/>
      <c r="D236" s="30"/>
      <c r="E236" s="30"/>
      <c r="F236" s="30"/>
      <c r="G236" s="30"/>
      <c r="H236" s="30"/>
      <c r="I236" s="7"/>
      <c r="J236" s="7"/>
      <c r="K236" s="7"/>
      <c r="L236" s="7"/>
      <c r="M236" s="7"/>
      <c r="N236" s="7"/>
      <c r="O236" s="7"/>
      <c r="P236" s="7"/>
      <c r="Q236" s="7"/>
      <c r="R236" s="7"/>
      <c r="S236" s="7"/>
      <c r="T236" s="7"/>
      <c r="U236" s="7"/>
      <c r="V236" s="7"/>
      <c r="W236" s="7"/>
      <c r="X236" s="7"/>
      <c r="Y236" s="7"/>
    </row>
    <row r="237" spans="1:25" ht="15.75" customHeight="1">
      <c r="A237" s="7"/>
      <c r="B237" s="7"/>
      <c r="C237" s="30"/>
      <c r="D237" s="30"/>
      <c r="E237" s="30"/>
      <c r="F237" s="30"/>
      <c r="G237" s="30"/>
      <c r="H237" s="30"/>
      <c r="I237" s="7"/>
      <c r="J237" s="7"/>
      <c r="K237" s="7"/>
      <c r="L237" s="7"/>
      <c r="M237" s="7"/>
      <c r="N237" s="7"/>
      <c r="O237" s="7"/>
      <c r="P237" s="7"/>
      <c r="Q237" s="7"/>
      <c r="R237" s="7"/>
      <c r="S237" s="7"/>
      <c r="T237" s="7"/>
      <c r="U237" s="7"/>
      <c r="V237" s="7"/>
      <c r="W237" s="7"/>
      <c r="X237" s="7"/>
      <c r="Y237" s="7"/>
    </row>
    <row r="238" spans="1:25" ht="15.75" customHeight="1">
      <c r="A238" s="7"/>
      <c r="B238" s="7"/>
      <c r="C238" s="30"/>
      <c r="D238" s="30"/>
      <c r="E238" s="30"/>
      <c r="F238" s="30"/>
      <c r="G238" s="30"/>
      <c r="H238" s="30"/>
      <c r="I238" s="7"/>
      <c r="J238" s="7"/>
      <c r="K238" s="7"/>
      <c r="L238" s="7"/>
      <c r="M238" s="7"/>
      <c r="N238" s="7"/>
      <c r="O238" s="7"/>
      <c r="P238" s="7"/>
      <c r="Q238" s="7"/>
      <c r="R238" s="7"/>
      <c r="S238" s="7"/>
      <c r="T238" s="7"/>
      <c r="U238" s="7"/>
      <c r="V238" s="7"/>
      <c r="W238" s="7"/>
      <c r="X238" s="7"/>
      <c r="Y238" s="7"/>
    </row>
    <row r="239" spans="1:25" ht="15.75" customHeight="1">
      <c r="A239" s="7"/>
      <c r="B239" s="7"/>
      <c r="C239" s="30"/>
      <c r="D239" s="30"/>
      <c r="E239" s="30"/>
      <c r="F239" s="30"/>
      <c r="G239" s="30"/>
      <c r="H239" s="30"/>
      <c r="I239" s="7"/>
      <c r="J239" s="7"/>
      <c r="K239" s="7"/>
      <c r="L239" s="7"/>
      <c r="M239" s="7"/>
      <c r="N239" s="7"/>
      <c r="O239" s="7"/>
      <c r="P239" s="7"/>
      <c r="Q239" s="7"/>
      <c r="R239" s="7"/>
      <c r="S239" s="7"/>
      <c r="T239" s="7"/>
      <c r="U239" s="7"/>
      <c r="V239" s="7"/>
      <c r="W239" s="7"/>
      <c r="X239" s="7"/>
      <c r="Y239" s="7"/>
    </row>
    <row r="240" spans="1:25" ht="15.75" customHeight="1">
      <c r="A240" s="7"/>
      <c r="B240" s="7"/>
      <c r="C240" s="30"/>
      <c r="D240" s="30"/>
      <c r="E240" s="30"/>
      <c r="F240" s="30"/>
      <c r="G240" s="30"/>
      <c r="H240" s="30"/>
      <c r="I240" s="7"/>
      <c r="J240" s="7"/>
      <c r="K240" s="7"/>
      <c r="L240" s="7"/>
      <c r="M240" s="7"/>
      <c r="N240" s="7"/>
      <c r="O240" s="7"/>
      <c r="P240" s="7"/>
      <c r="Q240" s="7"/>
      <c r="R240" s="7"/>
      <c r="S240" s="7"/>
      <c r="T240" s="7"/>
      <c r="U240" s="7"/>
      <c r="V240" s="7"/>
      <c r="W240" s="7"/>
      <c r="X240" s="7"/>
      <c r="Y240" s="7"/>
    </row>
    <row r="241" spans="1:25" ht="15.75" customHeight="1">
      <c r="A241" s="7"/>
      <c r="B241" s="7"/>
      <c r="C241" s="30"/>
      <c r="D241" s="30"/>
      <c r="E241" s="30"/>
      <c r="F241" s="30"/>
      <c r="G241" s="30"/>
      <c r="H241" s="30"/>
      <c r="I241" s="7"/>
      <c r="J241" s="7"/>
      <c r="K241" s="7"/>
      <c r="L241" s="7"/>
      <c r="M241" s="7"/>
      <c r="N241" s="7"/>
      <c r="O241" s="7"/>
      <c r="P241" s="7"/>
      <c r="Q241" s="7"/>
      <c r="R241" s="7"/>
      <c r="S241" s="7"/>
      <c r="T241" s="7"/>
      <c r="U241" s="7"/>
      <c r="V241" s="7"/>
      <c r="W241" s="7"/>
      <c r="X241" s="7"/>
      <c r="Y241" s="7"/>
    </row>
    <row r="242" spans="1:25" ht="15.75" customHeight="1">
      <c r="A242" s="7"/>
      <c r="B242" s="7"/>
      <c r="C242" s="30"/>
      <c r="D242" s="30"/>
      <c r="E242" s="30"/>
      <c r="F242" s="30"/>
      <c r="G242" s="30"/>
      <c r="H242" s="30"/>
      <c r="I242" s="7"/>
      <c r="J242" s="7"/>
      <c r="K242" s="7"/>
      <c r="L242" s="7"/>
      <c r="M242" s="7"/>
      <c r="N242" s="7"/>
      <c r="O242" s="7"/>
      <c r="P242" s="7"/>
      <c r="Q242" s="7"/>
      <c r="R242" s="7"/>
      <c r="S242" s="7"/>
      <c r="T242" s="7"/>
      <c r="U242" s="7"/>
      <c r="V242" s="7"/>
      <c r="W242" s="7"/>
      <c r="X242" s="7"/>
      <c r="Y242" s="7"/>
    </row>
    <row r="243" spans="1:25" ht="15.75" customHeight="1">
      <c r="A243" s="7"/>
      <c r="B243" s="7"/>
      <c r="C243" s="30"/>
      <c r="D243" s="30"/>
      <c r="E243" s="30"/>
      <c r="F243" s="30"/>
      <c r="G243" s="30"/>
      <c r="H243" s="30"/>
      <c r="I243" s="7"/>
      <c r="J243" s="7"/>
      <c r="K243" s="7"/>
      <c r="L243" s="7"/>
      <c r="M243" s="7"/>
      <c r="N243" s="7"/>
      <c r="O243" s="7"/>
      <c r="P243" s="7"/>
      <c r="Q243" s="7"/>
      <c r="R243" s="7"/>
      <c r="S243" s="7"/>
      <c r="T243" s="7"/>
      <c r="U243" s="7"/>
      <c r="V243" s="7"/>
      <c r="W243" s="7"/>
      <c r="X243" s="7"/>
      <c r="Y243" s="7"/>
    </row>
    <row r="244" spans="1:25" ht="15.75" customHeight="1">
      <c r="A244" s="7"/>
      <c r="B244" s="7"/>
      <c r="C244" s="30"/>
      <c r="D244" s="30"/>
      <c r="E244" s="30"/>
      <c r="F244" s="30"/>
      <c r="G244" s="30"/>
      <c r="H244" s="30"/>
      <c r="I244" s="7"/>
      <c r="J244" s="7"/>
      <c r="K244" s="7"/>
      <c r="L244" s="7"/>
      <c r="M244" s="7"/>
      <c r="N244" s="7"/>
      <c r="O244" s="7"/>
      <c r="P244" s="7"/>
      <c r="Q244" s="7"/>
      <c r="R244" s="7"/>
      <c r="S244" s="7"/>
      <c r="T244" s="7"/>
      <c r="U244" s="7"/>
      <c r="V244" s="7"/>
      <c r="W244" s="7"/>
      <c r="X244" s="7"/>
      <c r="Y244" s="7"/>
    </row>
    <row r="245" spans="1:25" ht="15.75" customHeight="1">
      <c r="A245" s="7"/>
      <c r="B245" s="7"/>
      <c r="C245" s="30"/>
      <c r="D245" s="30"/>
      <c r="E245" s="30"/>
      <c r="F245" s="30"/>
      <c r="G245" s="30"/>
      <c r="H245" s="30"/>
      <c r="I245" s="7"/>
      <c r="J245" s="7"/>
      <c r="K245" s="7"/>
      <c r="L245" s="7"/>
      <c r="M245" s="7"/>
      <c r="N245" s="7"/>
      <c r="O245" s="7"/>
      <c r="P245" s="7"/>
      <c r="Q245" s="7"/>
      <c r="R245" s="7"/>
      <c r="S245" s="7"/>
      <c r="T245" s="7"/>
      <c r="U245" s="7"/>
      <c r="V245" s="7"/>
      <c r="W245" s="7"/>
      <c r="X245" s="7"/>
      <c r="Y245" s="7"/>
    </row>
    <row r="246" spans="1:25" ht="15.75" customHeight="1">
      <c r="A246" s="7"/>
      <c r="B246" s="7"/>
      <c r="C246" s="30"/>
      <c r="D246" s="30"/>
      <c r="E246" s="30"/>
      <c r="F246" s="30"/>
      <c r="G246" s="30"/>
      <c r="H246" s="30"/>
      <c r="I246" s="7"/>
      <c r="J246" s="7"/>
      <c r="K246" s="7"/>
      <c r="L246" s="7"/>
      <c r="M246" s="7"/>
      <c r="N246" s="7"/>
      <c r="O246" s="7"/>
      <c r="P246" s="7"/>
      <c r="Q246" s="7"/>
      <c r="R246" s="7"/>
      <c r="S246" s="7"/>
      <c r="T246" s="7"/>
      <c r="U246" s="7"/>
      <c r="V246" s="7"/>
      <c r="W246" s="7"/>
      <c r="X246" s="7"/>
      <c r="Y246" s="7"/>
    </row>
    <row r="247" spans="1:25" ht="15.75" customHeight="1">
      <c r="A247" s="7"/>
      <c r="B247" s="7"/>
      <c r="C247" s="30"/>
      <c r="D247" s="30"/>
      <c r="E247" s="30"/>
      <c r="F247" s="30"/>
      <c r="G247" s="30"/>
      <c r="H247" s="30"/>
      <c r="I247" s="7"/>
      <c r="J247" s="7"/>
      <c r="K247" s="7"/>
      <c r="L247" s="7"/>
      <c r="M247" s="7"/>
      <c r="N247" s="7"/>
      <c r="O247" s="7"/>
      <c r="P247" s="7"/>
      <c r="Q247" s="7"/>
      <c r="R247" s="7"/>
      <c r="S247" s="7"/>
      <c r="T247" s="7"/>
      <c r="U247" s="7"/>
      <c r="V247" s="7"/>
      <c r="W247" s="7"/>
      <c r="X247" s="7"/>
      <c r="Y247" s="7"/>
    </row>
    <row r="248" spans="1:25" ht="15.75" customHeight="1">
      <c r="A248" s="7"/>
      <c r="B248" s="7"/>
      <c r="C248" s="30"/>
      <c r="D248" s="30"/>
      <c r="E248" s="30"/>
      <c r="F248" s="30"/>
      <c r="G248" s="30"/>
      <c r="H248" s="30"/>
      <c r="I248" s="7"/>
      <c r="J248" s="7"/>
      <c r="K248" s="7"/>
      <c r="L248" s="7"/>
      <c r="M248" s="7"/>
      <c r="N248" s="7"/>
      <c r="O248" s="7"/>
      <c r="P248" s="7"/>
      <c r="Q248" s="7"/>
      <c r="R248" s="7"/>
      <c r="S248" s="7"/>
      <c r="T248" s="7"/>
      <c r="U248" s="7"/>
      <c r="V248" s="7"/>
      <c r="W248" s="7"/>
      <c r="X248" s="7"/>
      <c r="Y248" s="7"/>
    </row>
    <row r="249" spans="1:25" ht="15.75" customHeight="1">
      <c r="A249" s="7"/>
      <c r="B249" s="7"/>
      <c r="C249" s="30"/>
      <c r="D249" s="30"/>
      <c r="E249" s="30"/>
      <c r="F249" s="30"/>
      <c r="G249" s="30"/>
      <c r="H249" s="30"/>
      <c r="I249" s="7"/>
      <c r="J249" s="7"/>
      <c r="K249" s="7"/>
      <c r="L249" s="7"/>
      <c r="M249" s="7"/>
      <c r="N249" s="7"/>
      <c r="O249" s="7"/>
      <c r="P249" s="7"/>
      <c r="Q249" s="7"/>
      <c r="R249" s="7"/>
      <c r="S249" s="7"/>
      <c r="T249" s="7"/>
      <c r="U249" s="7"/>
      <c r="V249" s="7"/>
      <c r="W249" s="7"/>
      <c r="X249" s="7"/>
      <c r="Y249" s="7"/>
    </row>
    <row r="250" spans="1:25" ht="15.75" customHeight="1">
      <c r="A250" s="7"/>
      <c r="B250" s="7"/>
      <c r="C250" s="30"/>
      <c r="D250" s="30"/>
      <c r="E250" s="30"/>
      <c r="F250" s="30"/>
      <c r="G250" s="30"/>
      <c r="H250" s="30"/>
      <c r="I250" s="7"/>
      <c r="J250" s="7"/>
      <c r="K250" s="7"/>
      <c r="L250" s="7"/>
      <c r="M250" s="7"/>
      <c r="N250" s="7"/>
      <c r="O250" s="7"/>
      <c r="P250" s="7"/>
      <c r="Q250" s="7"/>
      <c r="R250" s="7"/>
      <c r="S250" s="7"/>
      <c r="T250" s="7"/>
      <c r="U250" s="7"/>
      <c r="V250" s="7"/>
      <c r="W250" s="7"/>
      <c r="X250" s="7"/>
      <c r="Y250" s="7"/>
    </row>
    <row r="251" spans="1:25" ht="15.75" customHeight="1">
      <c r="A251" s="7"/>
      <c r="B251" s="7"/>
      <c r="C251" s="30"/>
      <c r="D251" s="30"/>
      <c r="E251" s="30"/>
      <c r="F251" s="30"/>
      <c r="G251" s="30"/>
      <c r="H251" s="30"/>
      <c r="I251" s="7"/>
      <c r="J251" s="7"/>
      <c r="K251" s="7"/>
      <c r="L251" s="7"/>
      <c r="M251" s="7"/>
      <c r="N251" s="7"/>
      <c r="O251" s="7"/>
      <c r="P251" s="7"/>
      <c r="Q251" s="7"/>
      <c r="R251" s="7"/>
      <c r="S251" s="7"/>
      <c r="T251" s="7"/>
      <c r="U251" s="7"/>
      <c r="V251" s="7"/>
      <c r="W251" s="7"/>
      <c r="X251" s="7"/>
      <c r="Y251" s="7"/>
    </row>
    <row r="252" spans="1:25" ht="15.75" customHeight="1">
      <c r="A252" s="7"/>
      <c r="B252" s="7"/>
      <c r="C252" s="30"/>
      <c r="D252" s="30"/>
      <c r="E252" s="30"/>
      <c r="F252" s="30"/>
      <c r="G252" s="30"/>
      <c r="H252" s="30"/>
      <c r="I252" s="7"/>
      <c r="J252" s="7"/>
      <c r="K252" s="7"/>
      <c r="L252" s="7"/>
      <c r="M252" s="7"/>
      <c r="N252" s="7"/>
      <c r="O252" s="7"/>
      <c r="P252" s="7"/>
      <c r="Q252" s="7"/>
      <c r="R252" s="7"/>
      <c r="S252" s="7"/>
      <c r="T252" s="7"/>
      <c r="U252" s="7"/>
      <c r="V252" s="7"/>
      <c r="W252" s="7"/>
      <c r="X252" s="7"/>
      <c r="Y252" s="7"/>
    </row>
    <row r="253" spans="1:25" ht="15.75" customHeight="1">
      <c r="A253" s="7"/>
      <c r="B253" s="7"/>
      <c r="C253" s="30"/>
      <c r="D253" s="30"/>
      <c r="E253" s="30"/>
      <c r="F253" s="30"/>
      <c r="G253" s="30"/>
      <c r="H253" s="30"/>
      <c r="I253" s="7"/>
      <c r="J253" s="7"/>
      <c r="K253" s="7"/>
      <c r="L253" s="7"/>
      <c r="M253" s="7"/>
      <c r="N253" s="7"/>
      <c r="O253" s="7"/>
      <c r="P253" s="7"/>
      <c r="Q253" s="7"/>
      <c r="R253" s="7"/>
      <c r="S253" s="7"/>
      <c r="T253" s="7"/>
      <c r="U253" s="7"/>
      <c r="V253" s="7"/>
      <c r="W253" s="7"/>
      <c r="X253" s="7"/>
      <c r="Y253" s="7"/>
    </row>
    <row r="254" spans="1:25" ht="15.75" customHeight="1">
      <c r="A254" s="7"/>
      <c r="B254" s="7"/>
      <c r="C254" s="30"/>
      <c r="D254" s="30"/>
      <c r="E254" s="30"/>
      <c r="F254" s="30"/>
      <c r="G254" s="30"/>
      <c r="H254" s="30"/>
      <c r="I254" s="7"/>
      <c r="J254" s="7"/>
      <c r="K254" s="7"/>
      <c r="L254" s="7"/>
      <c r="M254" s="7"/>
      <c r="N254" s="7"/>
      <c r="O254" s="7"/>
      <c r="P254" s="7"/>
      <c r="Q254" s="7"/>
      <c r="R254" s="7"/>
      <c r="S254" s="7"/>
      <c r="T254" s="7"/>
      <c r="U254" s="7"/>
      <c r="V254" s="7"/>
      <c r="W254" s="7"/>
      <c r="X254" s="7"/>
      <c r="Y254" s="7"/>
    </row>
    <row r="255" spans="1:25" ht="15.75" customHeight="1">
      <c r="A255" s="7"/>
      <c r="B255" s="7"/>
      <c r="C255" s="30"/>
      <c r="D255" s="30"/>
      <c r="E255" s="30"/>
      <c r="F255" s="30"/>
      <c r="G255" s="30"/>
      <c r="H255" s="30"/>
      <c r="I255" s="7"/>
      <c r="J255" s="7"/>
      <c r="K255" s="7"/>
      <c r="L255" s="7"/>
      <c r="M255" s="7"/>
      <c r="N255" s="7"/>
      <c r="O255" s="7"/>
      <c r="P255" s="7"/>
      <c r="Q255" s="7"/>
      <c r="R255" s="7"/>
      <c r="S255" s="7"/>
      <c r="T255" s="7"/>
      <c r="U255" s="7"/>
      <c r="V255" s="7"/>
      <c r="W255" s="7"/>
      <c r="X255" s="7"/>
      <c r="Y255" s="7"/>
    </row>
    <row r="256" spans="1:25" ht="15.75" customHeight="1">
      <c r="A256" s="7"/>
      <c r="B256" s="7"/>
      <c r="C256" s="30"/>
      <c r="D256" s="30"/>
      <c r="E256" s="30"/>
      <c r="F256" s="30"/>
      <c r="G256" s="30"/>
      <c r="H256" s="30"/>
      <c r="I256" s="7"/>
      <c r="J256" s="7"/>
      <c r="K256" s="7"/>
      <c r="L256" s="7"/>
      <c r="M256" s="7"/>
      <c r="N256" s="7"/>
      <c r="O256" s="7"/>
      <c r="P256" s="7"/>
      <c r="Q256" s="7"/>
      <c r="R256" s="7"/>
      <c r="S256" s="7"/>
      <c r="T256" s="7"/>
      <c r="U256" s="7"/>
      <c r="V256" s="7"/>
      <c r="W256" s="7"/>
      <c r="X256" s="7"/>
      <c r="Y256" s="7"/>
    </row>
    <row r="257" spans="1:25" ht="15.75" customHeight="1">
      <c r="A257" s="7"/>
      <c r="B257" s="7"/>
      <c r="C257" s="30"/>
      <c r="D257" s="30"/>
      <c r="E257" s="30"/>
      <c r="F257" s="30"/>
      <c r="G257" s="30"/>
      <c r="H257" s="30"/>
      <c r="I257" s="7"/>
      <c r="J257" s="7"/>
      <c r="K257" s="7"/>
      <c r="L257" s="7"/>
      <c r="M257" s="7"/>
      <c r="N257" s="7"/>
      <c r="O257" s="7"/>
      <c r="P257" s="7"/>
      <c r="Q257" s="7"/>
      <c r="R257" s="7"/>
      <c r="S257" s="7"/>
      <c r="T257" s="7"/>
      <c r="U257" s="7"/>
      <c r="V257" s="7"/>
      <c r="W257" s="7"/>
      <c r="X257" s="7"/>
      <c r="Y257" s="7"/>
    </row>
    <row r="258" spans="1:25" ht="15.75" customHeight="1">
      <c r="A258" s="7"/>
      <c r="B258" s="7"/>
      <c r="C258" s="30"/>
      <c r="D258" s="30"/>
      <c r="E258" s="30"/>
      <c r="F258" s="30"/>
      <c r="G258" s="30"/>
      <c r="H258" s="30"/>
      <c r="I258" s="7"/>
      <c r="J258" s="7"/>
      <c r="K258" s="7"/>
      <c r="L258" s="7"/>
      <c r="M258" s="7"/>
      <c r="N258" s="7"/>
      <c r="O258" s="7"/>
      <c r="P258" s="7"/>
      <c r="Q258" s="7"/>
      <c r="R258" s="7"/>
      <c r="S258" s="7"/>
      <c r="T258" s="7"/>
      <c r="U258" s="7"/>
      <c r="V258" s="7"/>
      <c r="W258" s="7"/>
      <c r="X258" s="7"/>
      <c r="Y258" s="7"/>
    </row>
    <row r="259" spans="1:25" ht="15.75" customHeight="1">
      <c r="A259" s="7"/>
      <c r="B259" s="7"/>
      <c r="C259" s="30"/>
      <c r="D259" s="30"/>
      <c r="E259" s="30"/>
      <c r="F259" s="30"/>
      <c r="G259" s="30"/>
      <c r="H259" s="30"/>
      <c r="I259" s="7"/>
      <c r="J259" s="7"/>
      <c r="K259" s="7"/>
      <c r="L259" s="7"/>
      <c r="M259" s="7"/>
      <c r="N259" s="7"/>
      <c r="O259" s="7"/>
      <c r="P259" s="7"/>
      <c r="Q259" s="7"/>
      <c r="R259" s="7"/>
      <c r="S259" s="7"/>
      <c r="T259" s="7"/>
      <c r="U259" s="7"/>
      <c r="V259" s="7"/>
      <c r="W259" s="7"/>
      <c r="X259" s="7"/>
      <c r="Y259" s="7"/>
    </row>
    <row r="260" spans="1:25" ht="15.75" customHeight="1">
      <c r="A260" s="7"/>
      <c r="B260" s="7"/>
      <c r="C260" s="30"/>
      <c r="D260" s="30"/>
      <c r="E260" s="30"/>
      <c r="F260" s="30"/>
      <c r="G260" s="30"/>
      <c r="H260" s="30"/>
      <c r="I260" s="7"/>
      <c r="J260" s="7"/>
      <c r="K260" s="7"/>
      <c r="L260" s="7"/>
      <c r="M260" s="7"/>
      <c r="N260" s="7"/>
      <c r="O260" s="7"/>
      <c r="P260" s="7"/>
      <c r="Q260" s="7"/>
      <c r="R260" s="7"/>
      <c r="S260" s="7"/>
      <c r="T260" s="7"/>
      <c r="U260" s="7"/>
      <c r="V260" s="7"/>
      <c r="W260" s="7"/>
      <c r="X260" s="7"/>
      <c r="Y260" s="7"/>
    </row>
    <row r="261" spans="1:25" ht="15.75" customHeight="1">
      <c r="A261" s="7"/>
      <c r="B261" s="7"/>
      <c r="C261" s="30"/>
      <c r="D261" s="30"/>
      <c r="E261" s="30"/>
      <c r="F261" s="30"/>
      <c r="G261" s="30"/>
      <c r="H261" s="30"/>
      <c r="I261" s="7"/>
      <c r="J261" s="7"/>
      <c r="K261" s="7"/>
      <c r="L261" s="7"/>
      <c r="M261" s="7"/>
      <c r="N261" s="7"/>
      <c r="O261" s="7"/>
      <c r="P261" s="7"/>
      <c r="Q261" s="7"/>
      <c r="R261" s="7"/>
      <c r="S261" s="7"/>
      <c r="T261" s="7"/>
      <c r="U261" s="7"/>
      <c r="V261" s="7"/>
      <c r="W261" s="7"/>
      <c r="X261" s="7"/>
      <c r="Y261" s="7"/>
    </row>
    <row r="262" spans="1:25" ht="15.75" customHeight="1">
      <c r="A262" s="7"/>
      <c r="B262" s="7"/>
      <c r="C262" s="30"/>
      <c r="D262" s="30"/>
      <c r="E262" s="30"/>
      <c r="F262" s="30"/>
      <c r="G262" s="30"/>
      <c r="H262" s="30"/>
      <c r="I262" s="7"/>
      <c r="J262" s="7"/>
      <c r="K262" s="7"/>
      <c r="L262" s="7"/>
      <c r="M262" s="7"/>
      <c r="N262" s="7"/>
      <c r="O262" s="7"/>
      <c r="P262" s="7"/>
      <c r="Q262" s="7"/>
      <c r="R262" s="7"/>
      <c r="S262" s="7"/>
      <c r="T262" s="7"/>
      <c r="U262" s="7"/>
      <c r="V262" s="7"/>
      <c r="W262" s="7"/>
      <c r="X262" s="7"/>
      <c r="Y262" s="7"/>
    </row>
    <row r="263" spans="1:25" ht="15.75" customHeight="1">
      <c r="A263" s="7"/>
      <c r="B263" s="7"/>
      <c r="C263" s="30"/>
      <c r="D263" s="30"/>
      <c r="E263" s="30"/>
      <c r="F263" s="30"/>
      <c r="G263" s="30"/>
      <c r="H263" s="30"/>
      <c r="I263" s="7"/>
      <c r="J263" s="7"/>
      <c r="K263" s="7"/>
      <c r="L263" s="7"/>
      <c r="M263" s="7"/>
      <c r="N263" s="7"/>
      <c r="O263" s="7"/>
      <c r="P263" s="7"/>
      <c r="Q263" s="7"/>
      <c r="R263" s="7"/>
      <c r="S263" s="7"/>
      <c r="T263" s="7"/>
      <c r="U263" s="7"/>
      <c r="V263" s="7"/>
      <c r="W263" s="7"/>
      <c r="X263" s="7"/>
      <c r="Y263" s="7"/>
    </row>
    <row r="264" spans="1:25" ht="15.75" customHeight="1">
      <c r="A264" s="7"/>
      <c r="B264" s="7"/>
      <c r="C264" s="30"/>
      <c r="D264" s="30"/>
      <c r="E264" s="30"/>
      <c r="F264" s="30"/>
      <c r="G264" s="30"/>
      <c r="H264" s="30"/>
      <c r="I264" s="7"/>
      <c r="J264" s="7"/>
      <c r="K264" s="7"/>
      <c r="L264" s="7"/>
      <c r="M264" s="7"/>
      <c r="N264" s="7"/>
      <c r="O264" s="7"/>
      <c r="P264" s="7"/>
      <c r="Q264" s="7"/>
      <c r="R264" s="7"/>
      <c r="S264" s="7"/>
      <c r="T264" s="7"/>
      <c r="U264" s="7"/>
      <c r="V264" s="7"/>
      <c r="W264" s="7"/>
      <c r="X264" s="7"/>
      <c r="Y264" s="7"/>
    </row>
    <row r="265" spans="1:25" ht="15.75" customHeight="1">
      <c r="A265" s="7"/>
      <c r="B265" s="7"/>
      <c r="C265" s="30"/>
      <c r="D265" s="30"/>
      <c r="E265" s="30"/>
      <c r="F265" s="30"/>
      <c r="G265" s="30"/>
      <c r="H265" s="30"/>
      <c r="I265" s="7"/>
      <c r="J265" s="7"/>
      <c r="K265" s="7"/>
      <c r="L265" s="7"/>
      <c r="M265" s="7"/>
      <c r="N265" s="7"/>
      <c r="O265" s="7"/>
      <c r="P265" s="7"/>
      <c r="Q265" s="7"/>
      <c r="R265" s="7"/>
      <c r="S265" s="7"/>
      <c r="T265" s="7"/>
      <c r="U265" s="7"/>
      <c r="V265" s="7"/>
      <c r="W265" s="7"/>
      <c r="X265" s="7"/>
      <c r="Y265" s="7"/>
    </row>
    <row r="266" spans="1:25" ht="15.75" customHeight="1">
      <c r="A266" s="7"/>
      <c r="B266" s="7"/>
      <c r="C266" s="30"/>
      <c r="D266" s="30"/>
      <c r="E266" s="30"/>
      <c r="F266" s="30"/>
      <c r="G266" s="30"/>
      <c r="H266" s="30"/>
      <c r="I266" s="7"/>
      <c r="J266" s="7"/>
      <c r="K266" s="7"/>
      <c r="L266" s="7"/>
      <c r="M266" s="7"/>
      <c r="N266" s="7"/>
      <c r="O266" s="7"/>
      <c r="P266" s="7"/>
      <c r="Q266" s="7"/>
      <c r="R266" s="7"/>
      <c r="S266" s="7"/>
      <c r="T266" s="7"/>
      <c r="U266" s="7"/>
      <c r="V266" s="7"/>
      <c r="W266" s="7"/>
      <c r="X266" s="7"/>
      <c r="Y266" s="7"/>
    </row>
    <row r="267" spans="1:25" ht="15.75" customHeight="1">
      <c r="A267" s="7"/>
      <c r="B267" s="7"/>
      <c r="C267" s="30"/>
      <c r="D267" s="30"/>
      <c r="E267" s="30"/>
      <c r="F267" s="30"/>
      <c r="G267" s="30"/>
      <c r="H267" s="30"/>
      <c r="I267" s="7"/>
      <c r="J267" s="7"/>
      <c r="K267" s="7"/>
      <c r="L267" s="7"/>
      <c r="M267" s="7"/>
      <c r="N267" s="7"/>
      <c r="O267" s="7"/>
      <c r="P267" s="7"/>
      <c r="Q267" s="7"/>
      <c r="R267" s="7"/>
      <c r="S267" s="7"/>
      <c r="T267" s="7"/>
      <c r="U267" s="7"/>
      <c r="V267" s="7"/>
      <c r="W267" s="7"/>
      <c r="X267" s="7"/>
      <c r="Y267" s="7"/>
    </row>
    <row r="268" spans="1:25" ht="15.75" customHeight="1">
      <c r="A268" s="7"/>
      <c r="B268" s="7"/>
      <c r="C268" s="30"/>
      <c r="D268" s="30"/>
      <c r="E268" s="30"/>
      <c r="F268" s="30"/>
      <c r="G268" s="30"/>
      <c r="H268" s="30"/>
      <c r="I268" s="7"/>
      <c r="J268" s="7"/>
      <c r="K268" s="7"/>
      <c r="L268" s="7"/>
      <c r="M268" s="7"/>
      <c r="N268" s="7"/>
      <c r="O268" s="7"/>
      <c r="P268" s="7"/>
      <c r="Q268" s="7"/>
      <c r="R268" s="7"/>
      <c r="S268" s="7"/>
      <c r="T268" s="7"/>
      <c r="U268" s="7"/>
      <c r="V268" s="7"/>
      <c r="W268" s="7"/>
      <c r="X268" s="7"/>
      <c r="Y268" s="7"/>
    </row>
    <row r="269" spans="1:25" ht="15.75" customHeight="1">
      <c r="A269" s="7"/>
      <c r="B269" s="7"/>
      <c r="C269" s="30"/>
      <c r="D269" s="30"/>
      <c r="E269" s="30"/>
      <c r="F269" s="30"/>
      <c r="G269" s="30"/>
      <c r="H269" s="30"/>
      <c r="I269" s="7"/>
      <c r="J269" s="7"/>
      <c r="K269" s="7"/>
      <c r="L269" s="7"/>
      <c r="M269" s="7"/>
      <c r="N269" s="7"/>
      <c r="O269" s="7"/>
      <c r="P269" s="7"/>
      <c r="Q269" s="7"/>
      <c r="R269" s="7"/>
      <c r="S269" s="7"/>
      <c r="T269" s="7"/>
      <c r="U269" s="7"/>
      <c r="V269" s="7"/>
      <c r="W269" s="7"/>
      <c r="X269" s="7"/>
      <c r="Y269" s="7"/>
    </row>
    <row r="270" spans="1:25" ht="15.75" customHeight="1">
      <c r="A270" s="7"/>
      <c r="B270" s="7"/>
      <c r="C270" s="30"/>
      <c r="D270" s="30"/>
      <c r="E270" s="30"/>
      <c r="F270" s="30"/>
      <c r="G270" s="30"/>
      <c r="H270" s="30"/>
      <c r="I270" s="7"/>
      <c r="J270" s="7"/>
      <c r="K270" s="7"/>
      <c r="L270" s="7"/>
      <c r="M270" s="7"/>
      <c r="N270" s="7"/>
      <c r="O270" s="7"/>
      <c r="P270" s="7"/>
      <c r="Q270" s="7"/>
      <c r="R270" s="7"/>
      <c r="S270" s="7"/>
      <c r="T270" s="7"/>
      <c r="U270" s="7"/>
      <c r="V270" s="7"/>
      <c r="W270" s="7"/>
      <c r="X270" s="7"/>
      <c r="Y270" s="7"/>
    </row>
    <row r="271" spans="1:25" ht="15.75" customHeight="1">
      <c r="A271" s="7"/>
      <c r="B271" s="7"/>
      <c r="C271" s="30"/>
      <c r="D271" s="30"/>
      <c r="E271" s="30"/>
      <c r="F271" s="30"/>
      <c r="G271" s="30"/>
      <c r="H271" s="30"/>
      <c r="I271" s="7"/>
      <c r="J271" s="7"/>
      <c r="K271" s="7"/>
      <c r="L271" s="7"/>
      <c r="M271" s="7"/>
      <c r="N271" s="7"/>
      <c r="O271" s="7"/>
      <c r="P271" s="7"/>
      <c r="Q271" s="7"/>
      <c r="R271" s="7"/>
      <c r="S271" s="7"/>
      <c r="T271" s="7"/>
      <c r="U271" s="7"/>
      <c r="V271" s="7"/>
      <c r="W271" s="7"/>
      <c r="X271" s="7"/>
      <c r="Y271" s="7"/>
    </row>
    <row r="272" spans="1:25" ht="15.75" customHeight="1">
      <c r="A272" s="7"/>
      <c r="B272" s="7"/>
      <c r="C272" s="30"/>
      <c r="D272" s="30"/>
      <c r="E272" s="30"/>
      <c r="F272" s="30"/>
      <c r="G272" s="30"/>
      <c r="H272" s="30"/>
      <c r="I272" s="7"/>
      <c r="J272" s="7"/>
      <c r="K272" s="7"/>
      <c r="L272" s="7"/>
      <c r="M272" s="7"/>
      <c r="N272" s="7"/>
      <c r="O272" s="7"/>
      <c r="P272" s="7"/>
      <c r="Q272" s="7"/>
      <c r="R272" s="7"/>
      <c r="S272" s="7"/>
      <c r="T272" s="7"/>
      <c r="U272" s="7"/>
      <c r="V272" s="7"/>
      <c r="W272" s="7"/>
      <c r="X272" s="7"/>
      <c r="Y272" s="7"/>
    </row>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N28:V30"/>
    <mergeCell ref="N32:P36"/>
    <mergeCell ref="D2:H2"/>
    <mergeCell ref="I2:M2"/>
    <mergeCell ref="N12:T13"/>
    <mergeCell ref="D26:H26"/>
    <mergeCell ref="I26:M26"/>
    <mergeCell ref="D43:H43"/>
    <mergeCell ref="I43:M43"/>
    <mergeCell ref="D62:H62"/>
    <mergeCell ref="I62:M62"/>
    <mergeCell ref="N68:R72"/>
  </mergeCells>
  <pageMargins left="0.7" right="0.7" top="0.75" bottom="0.75" header="0" footer="0"/>
  <pageSetup orientation="portrait"/>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Y972"/>
  <sheetViews>
    <sheetView showGridLines="0" tabSelected="1" topLeftCell="A61" workbookViewId="0">
      <selection activeCell="D81" sqref="D81"/>
    </sheetView>
  </sheetViews>
  <sheetFormatPr defaultColWidth="10.1796875" defaultRowHeight="15" customHeight="1"/>
  <cols>
    <col min="1" max="1" width="5.81640625" customWidth="1"/>
    <col min="2" max="2" width="38.453125" customWidth="1"/>
    <col min="3" max="3" width="14.26953125" customWidth="1"/>
    <col min="7" max="7" width="14.54296875" customWidth="1"/>
    <col min="9" max="9" width="10.81640625" customWidth="1"/>
    <col min="12" max="12" width="11.1796875" customWidth="1"/>
  </cols>
  <sheetData>
    <row r="1" spans="1:25" ht="15.6">
      <c r="A1" s="5" t="s">
        <v>406</v>
      </c>
      <c r="B1" s="7"/>
      <c r="C1" s="29"/>
      <c r="D1" s="30"/>
      <c r="E1" s="30"/>
      <c r="F1" s="30"/>
      <c r="G1" s="7"/>
      <c r="H1" s="7"/>
      <c r="I1" s="7"/>
      <c r="J1" s="7"/>
      <c r="K1" s="7"/>
      <c r="L1" s="7"/>
      <c r="M1" s="7"/>
      <c r="N1" s="7"/>
      <c r="O1" s="7"/>
      <c r="P1" s="7"/>
      <c r="Q1" s="7"/>
      <c r="R1" s="7"/>
      <c r="S1" s="7"/>
      <c r="T1" s="7"/>
      <c r="U1" s="7"/>
      <c r="V1" s="7"/>
      <c r="W1" s="7"/>
      <c r="X1" s="7"/>
      <c r="Y1" s="7"/>
    </row>
    <row r="2" spans="1:25" ht="15.6">
      <c r="A2" s="31"/>
      <c r="B2" s="31"/>
      <c r="C2" s="32"/>
      <c r="D2" s="591" t="s">
        <v>49</v>
      </c>
      <c r="E2" s="592"/>
      <c r="F2" s="592"/>
      <c r="G2" s="592"/>
      <c r="H2" s="593"/>
      <c r="L2" s="7"/>
      <c r="M2" s="7"/>
      <c r="N2" s="7"/>
      <c r="O2" s="7"/>
      <c r="P2" s="7"/>
      <c r="Q2" s="7"/>
      <c r="R2" s="7"/>
      <c r="X2" s="7"/>
      <c r="Y2" s="7"/>
    </row>
    <row r="3" spans="1:25">
      <c r="A3" s="134"/>
      <c r="B3" s="134" t="s">
        <v>407</v>
      </c>
      <c r="C3" s="36" t="s">
        <v>51</v>
      </c>
      <c r="D3" s="263" t="s">
        <v>22</v>
      </c>
      <c r="E3" s="264" t="s">
        <v>23</v>
      </c>
      <c r="F3" s="264" t="s">
        <v>24</v>
      </c>
      <c r="G3" s="264" t="s">
        <v>25</v>
      </c>
      <c r="H3" s="264" t="s">
        <v>26</v>
      </c>
      <c r="L3" s="7"/>
      <c r="M3" s="7"/>
      <c r="N3" s="7"/>
      <c r="O3" s="7"/>
      <c r="P3" s="7"/>
      <c r="Q3" s="7"/>
      <c r="R3" s="7"/>
      <c r="X3" s="7"/>
      <c r="Y3" s="7"/>
    </row>
    <row r="4" spans="1:25" ht="15.6">
      <c r="A4" s="7"/>
      <c r="B4" s="7"/>
      <c r="C4" s="29"/>
      <c r="D4" s="549"/>
      <c r="E4" s="30"/>
      <c r="F4" s="30"/>
      <c r="G4" s="30"/>
      <c r="H4" s="30"/>
      <c r="L4" s="7"/>
      <c r="M4" s="7"/>
      <c r="N4" s="7"/>
      <c r="O4" s="7"/>
      <c r="P4" s="7"/>
      <c r="Q4" s="7"/>
      <c r="R4" s="7"/>
      <c r="X4" s="7"/>
      <c r="Y4" s="7"/>
    </row>
    <row r="5" spans="1:25">
      <c r="A5" s="7"/>
      <c r="B5" s="14" t="s">
        <v>408</v>
      </c>
      <c r="C5" s="55" t="s">
        <v>53</v>
      </c>
      <c r="D5" s="547">
        <f>'Income Statement'!I31</f>
        <v>30385.351283485186</v>
      </c>
      <c r="E5" s="57">
        <f>'Income Statement'!J31</f>
        <v>43106.87204882683</v>
      </c>
      <c r="F5" s="57">
        <f>'Income Statement'!K31</f>
        <v>56146.006200368778</v>
      </c>
      <c r="G5" s="57">
        <f>'Income Statement'!L31</f>
        <v>68718.513926369429</v>
      </c>
      <c r="H5" s="57">
        <f>'Income Statement'!M31</f>
        <v>76336.305700382305</v>
      </c>
      <c r="L5" s="7"/>
      <c r="M5" s="7"/>
      <c r="N5" s="7"/>
      <c r="O5" s="7"/>
      <c r="P5" s="7"/>
      <c r="X5" s="7"/>
      <c r="Y5" s="7"/>
    </row>
    <row r="6" spans="1:25" ht="15.6">
      <c r="A6" s="7"/>
      <c r="B6" s="7"/>
      <c r="C6" s="29"/>
      <c r="D6" s="549"/>
      <c r="E6" s="30"/>
      <c r="F6" s="30"/>
      <c r="G6" s="30"/>
      <c r="H6" s="30"/>
      <c r="L6" s="7"/>
      <c r="M6" s="7"/>
      <c r="N6" s="7"/>
      <c r="O6" s="7"/>
      <c r="P6" s="7"/>
      <c r="X6" s="7"/>
      <c r="Y6" s="7"/>
    </row>
    <row r="7" spans="1:25">
      <c r="A7" s="7"/>
      <c r="B7" s="14" t="s">
        <v>122</v>
      </c>
      <c r="C7" s="64" t="s">
        <v>55</v>
      </c>
      <c r="D7" s="689">
        <f>'Income Assumptions'!K101</f>
        <v>0</v>
      </c>
      <c r="E7" s="383">
        <f>'Income Assumptions'!L101</f>
        <v>0</v>
      </c>
      <c r="F7" s="383">
        <f>'Income Assumptions'!M101</f>
        <v>0</v>
      </c>
      <c r="G7" s="383">
        <f>'Income Assumptions'!N101</f>
        <v>0</v>
      </c>
      <c r="H7" s="383">
        <f>'Income Assumptions'!O101</f>
        <v>0</v>
      </c>
      <c r="L7" s="7"/>
      <c r="M7" s="7"/>
      <c r="N7" s="7"/>
      <c r="O7" s="7"/>
      <c r="P7" s="7"/>
      <c r="Q7" s="7"/>
      <c r="R7" s="7"/>
      <c r="X7" s="7"/>
      <c r="Y7" s="7"/>
    </row>
    <row r="8" spans="1:25" ht="15" customHeight="1">
      <c r="A8" s="7"/>
      <c r="B8" s="7"/>
      <c r="C8" s="29"/>
      <c r="D8" s="549"/>
      <c r="E8" s="30"/>
      <c r="F8" s="30"/>
      <c r="G8" s="30"/>
      <c r="H8" s="30"/>
      <c r="L8" s="7"/>
      <c r="M8" s="7"/>
      <c r="N8" s="7"/>
      <c r="O8" s="7"/>
      <c r="P8" s="7"/>
      <c r="Q8" s="7"/>
      <c r="R8" s="7"/>
      <c r="X8" s="7"/>
      <c r="Y8" s="7"/>
    </row>
    <row r="9" spans="1:25">
      <c r="A9" s="7"/>
      <c r="B9" s="14" t="s">
        <v>283</v>
      </c>
      <c r="C9" s="55" t="s">
        <v>53</v>
      </c>
      <c r="D9" s="690">
        <f t="shared" ref="D9:H9" si="0">SUM(D10)</f>
        <v>65569.458756026565</v>
      </c>
      <c r="E9" s="201">
        <f t="shared" si="0"/>
        <v>55925.96409964843</v>
      </c>
      <c r="F9" s="201">
        <f t="shared" si="0"/>
        <v>46385.597688497866</v>
      </c>
      <c r="G9" s="201">
        <f t="shared" si="0"/>
        <v>37040.476158675978</v>
      </c>
      <c r="H9" s="201">
        <f t="shared" si="0"/>
        <v>32898.794014795312</v>
      </c>
      <c r="L9" s="358"/>
      <c r="M9" s="358"/>
      <c r="N9" s="358"/>
      <c r="O9" s="358"/>
      <c r="P9" s="7"/>
      <c r="Q9" s="7"/>
      <c r="R9" s="7"/>
      <c r="X9" s="7"/>
      <c r="Y9" s="7"/>
    </row>
    <row r="10" spans="1:25" ht="15.6">
      <c r="A10" s="7"/>
      <c r="B10" s="16" t="s">
        <v>205</v>
      </c>
      <c r="C10" s="29" t="s">
        <v>53</v>
      </c>
      <c r="D10" s="691">
        <f>'Balance Assumptions'!I79</f>
        <v>65569.458756026565</v>
      </c>
      <c r="E10" s="190">
        <f>'Balance Assumptions'!J79</f>
        <v>55925.96409964843</v>
      </c>
      <c r="F10" s="190">
        <f>'Balance Assumptions'!K79</f>
        <v>46385.597688497866</v>
      </c>
      <c r="G10" s="190">
        <f>'Balance Assumptions'!L79</f>
        <v>37040.476158675978</v>
      </c>
      <c r="H10" s="190">
        <f>'Balance Assumptions'!M79</f>
        <v>32898.794014795312</v>
      </c>
      <c r="L10" s="358"/>
      <c r="M10" s="358"/>
      <c r="N10" s="358"/>
      <c r="O10" s="358"/>
      <c r="P10" s="7"/>
      <c r="Q10" s="7"/>
      <c r="R10" s="7"/>
      <c r="X10" s="7"/>
      <c r="Y10" s="7"/>
    </row>
    <row r="11" spans="1:25" ht="15.6">
      <c r="A11" s="7"/>
      <c r="B11" s="7"/>
      <c r="C11" s="29"/>
      <c r="D11" s="692"/>
      <c r="E11" s="20"/>
      <c r="F11" s="20"/>
      <c r="G11" s="20"/>
      <c r="H11" s="20"/>
      <c r="I11" s="266"/>
      <c r="J11" s="266"/>
      <c r="K11" s="266"/>
      <c r="L11" s="266"/>
      <c r="M11" s="266"/>
      <c r="Q11" s="7"/>
      <c r="R11" s="7"/>
      <c r="X11" s="7"/>
      <c r="Y11" s="7"/>
    </row>
    <row r="12" spans="1:25" ht="15" customHeight="1">
      <c r="A12" s="7"/>
      <c r="B12" s="252" t="s">
        <v>409</v>
      </c>
      <c r="C12" s="55" t="s">
        <v>53</v>
      </c>
      <c r="D12" s="547">
        <f>'Balance Assumptions'!I34</f>
        <v>691.7097474291586</v>
      </c>
      <c r="E12" s="57">
        <f>'Balance Assumptions'!J34</f>
        <v>-3392.4242025593558</v>
      </c>
      <c r="F12" s="57">
        <f>'Balance Assumptions'!K34</f>
        <v>-1315.7231052172647</v>
      </c>
      <c r="G12" s="57">
        <f>'Balance Assumptions'!L34</f>
        <v>-2674.0053009825206</v>
      </c>
      <c r="H12" s="57">
        <f>-'Balance Assumptions'!M33*$D$80</f>
        <v>139.60742121434291</v>
      </c>
      <c r="I12" s="695" t="s">
        <v>410</v>
      </c>
      <c r="J12" s="694"/>
      <c r="K12" s="694"/>
      <c r="L12" s="694"/>
      <c r="M12" s="266"/>
      <c r="Q12" s="213"/>
      <c r="R12" s="213"/>
      <c r="X12" s="7"/>
      <c r="Y12" s="7"/>
    </row>
    <row r="13" spans="1:25" ht="15.6">
      <c r="A13" s="7"/>
      <c r="B13" s="7"/>
      <c r="C13" s="29"/>
      <c r="D13" s="549"/>
      <c r="E13" s="30"/>
      <c r="F13" s="30"/>
      <c r="G13" s="30"/>
      <c r="H13" s="30"/>
      <c r="I13" s="533"/>
      <c r="J13" s="533"/>
      <c r="K13" s="533"/>
      <c r="L13" s="533"/>
      <c r="M13" s="266"/>
      <c r="Q13" s="213"/>
      <c r="R13" s="213"/>
      <c r="X13" s="7"/>
      <c r="Y13" s="7"/>
    </row>
    <row r="14" spans="1:25" ht="15.75" customHeight="1">
      <c r="A14" s="7"/>
      <c r="B14" s="14" t="s">
        <v>411</v>
      </c>
      <c r="C14" s="55" t="s">
        <v>53</v>
      </c>
      <c r="D14" s="547">
        <f>-'Balance Assumptions'!I61</f>
        <v>-34677.74437066145</v>
      </c>
      <c r="E14" s="57">
        <f>-'Balance Assumptions'!J61</f>
        <v>-35569.103335514315</v>
      </c>
      <c r="F14" s="57">
        <f>-'Balance Assumptions'!K61</f>
        <v>-33907.747979841639</v>
      </c>
      <c r="G14" s="57">
        <f>-'Balance Assumptions'!L61</f>
        <v>-34750.40744446696</v>
      </c>
      <c r="H14" s="57">
        <f>-H10</f>
        <v>-32898.794014795312</v>
      </c>
      <c r="I14" s="540" t="s">
        <v>412</v>
      </c>
      <c r="J14" s="540"/>
      <c r="K14" s="540"/>
      <c r="L14" s="533"/>
      <c r="M14" s="266"/>
      <c r="Q14" s="213"/>
      <c r="R14" s="213"/>
      <c r="X14" s="7"/>
      <c r="Y14" s="7"/>
    </row>
    <row r="15" spans="1:25" ht="15.75" customHeight="1">
      <c r="A15" s="7"/>
      <c r="B15" s="7"/>
      <c r="C15" s="29"/>
      <c r="D15" s="549"/>
      <c r="E15" s="30"/>
      <c r="F15" s="30"/>
      <c r="G15" s="30"/>
      <c r="H15" s="30"/>
      <c r="I15" s="534"/>
      <c r="J15" s="534"/>
      <c r="K15" s="534"/>
      <c r="L15" s="534"/>
      <c r="M15" s="266"/>
      <c r="Q15" s="213"/>
      <c r="R15" s="207"/>
      <c r="X15" s="7"/>
      <c r="Y15" s="7"/>
    </row>
    <row r="16" spans="1:25" ht="15.75" customHeight="1">
      <c r="A16" s="134"/>
      <c r="B16" s="134" t="s">
        <v>413</v>
      </c>
      <c r="C16" s="693" t="s">
        <v>53</v>
      </c>
      <c r="D16" s="384">
        <f>(D5*(1-D7)+SUM(D10:D14))</f>
        <v>61968.775416279466</v>
      </c>
      <c r="E16" s="384">
        <f t="shared" ref="D16:H16" si="1">(E5*(1-E7)+SUM(E10:E14))</f>
        <v>60071.308610401589</v>
      </c>
      <c r="F16" s="384">
        <f t="shared" si="1"/>
        <v>67308.132803807734</v>
      </c>
      <c r="G16" s="384">
        <f t="shared" si="1"/>
        <v>68334.577339595926</v>
      </c>
      <c r="H16" s="384">
        <f t="shared" si="1"/>
        <v>76475.913121596648</v>
      </c>
      <c r="I16" s="266"/>
      <c r="J16" s="266"/>
      <c r="K16" s="266"/>
      <c r="L16" s="266"/>
      <c r="M16" s="266"/>
      <c r="Q16" s="213"/>
      <c r="R16" s="7"/>
      <c r="X16" s="7"/>
      <c r="Y16" s="7"/>
    </row>
    <row r="17" spans="1:25" ht="15.75" customHeight="1">
      <c r="A17" s="7"/>
      <c r="B17" s="7"/>
      <c r="C17" s="29"/>
      <c r="D17" s="201"/>
      <c r="E17" s="201"/>
      <c r="F17" s="201"/>
      <c r="G17" s="201"/>
      <c r="H17" s="201"/>
      <c r="I17" s="266"/>
      <c r="J17" s="266"/>
      <c r="K17" s="266"/>
      <c r="L17" s="266"/>
      <c r="M17" s="266"/>
      <c r="Q17" s="213"/>
      <c r="X17" s="7"/>
      <c r="Y17" s="7"/>
    </row>
    <row r="18" spans="1:25" ht="15.75" customHeight="1">
      <c r="A18" s="7"/>
      <c r="B18" s="7"/>
      <c r="C18" s="603" t="s">
        <v>414</v>
      </c>
      <c r="D18" s="578"/>
      <c r="E18" s="578"/>
      <c r="F18" s="578"/>
      <c r="G18" s="578"/>
      <c r="H18" s="201"/>
      <c r="I18" s="266"/>
      <c r="J18" s="266"/>
      <c r="K18" s="266"/>
      <c r="L18" s="266"/>
      <c r="M18" s="266"/>
      <c r="Q18" s="213"/>
      <c r="X18" s="7"/>
      <c r="Y18" s="7"/>
    </row>
    <row r="19" spans="1:25" ht="15.75" customHeight="1">
      <c r="A19" s="385" t="s">
        <v>415</v>
      </c>
      <c r="B19" s="386" t="s">
        <v>416</v>
      </c>
      <c r="C19" s="386" t="s">
        <v>417</v>
      </c>
      <c r="D19" s="386" t="s">
        <v>418</v>
      </c>
      <c r="E19" s="386" t="s">
        <v>419</v>
      </c>
      <c r="F19" s="386" t="s">
        <v>420</v>
      </c>
      <c r="G19" s="387" t="s">
        <v>421</v>
      </c>
      <c r="H19" s="7"/>
      <c r="I19" s="7"/>
      <c r="J19" s="7"/>
      <c r="K19" s="7"/>
      <c r="L19" s="7"/>
    </row>
    <row r="20" spans="1:25" ht="15" customHeight="1">
      <c r="A20" s="92" t="s">
        <v>422</v>
      </c>
      <c r="B20" s="92" t="s">
        <v>423</v>
      </c>
      <c r="C20" s="388">
        <v>0.75</v>
      </c>
      <c r="D20" s="337">
        <v>8931200</v>
      </c>
      <c r="E20" s="337">
        <v>1540740</v>
      </c>
      <c r="F20" s="389">
        <v>0.25</v>
      </c>
      <c r="G20" s="390">
        <f t="shared" ref="G20:G27" si="2">C20/(1+(1-F20)*(D20/E20))</f>
        <v>0.14025189522207415</v>
      </c>
      <c r="H20" s="604" t="s">
        <v>430</v>
      </c>
      <c r="I20" s="605"/>
      <c r="J20" s="391"/>
      <c r="K20" s="391"/>
      <c r="L20" s="391"/>
    </row>
    <row r="21" spans="1:25" ht="15.75" customHeight="1">
      <c r="A21" s="53" t="s">
        <v>424</v>
      </c>
      <c r="B21" s="53" t="s">
        <v>425</v>
      </c>
      <c r="C21" s="392">
        <v>0.55000000000000004</v>
      </c>
      <c r="D21" s="103">
        <v>692595</v>
      </c>
      <c r="E21" s="103">
        <v>383780</v>
      </c>
      <c r="F21" s="393">
        <v>0.21</v>
      </c>
      <c r="G21" s="394">
        <f t="shared" si="2"/>
        <v>0.22673991456178688</v>
      </c>
      <c r="H21" s="604"/>
      <c r="I21" s="605"/>
      <c r="J21" s="391"/>
      <c r="K21" s="391"/>
      <c r="L21" s="391"/>
    </row>
    <row r="22" spans="1:25" ht="15.75" customHeight="1">
      <c r="A22" s="53" t="s">
        <v>426</v>
      </c>
      <c r="B22" s="53" t="s">
        <v>427</v>
      </c>
      <c r="C22" s="392">
        <v>0.9</v>
      </c>
      <c r="D22" s="103">
        <v>11886000</v>
      </c>
      <c r="E22" s="103">
        <v>13984850</v>
      </c>
      <c r="F22" s="393">
        <v>0.25</v>
      </c>
      <c r="G22" s="394">
        <f t="shared" si="2"/>
        <v>0.54963852685774928</v>
      </c>
      <c r="H22" s="604"/>
      <c r="I22" s="605"/>
      <c r="J22" s="391"/>
      <c r="K22" s="391"/>
      <c r="L22" s="391"/>
    </row>
    <row r="23" spans="1:25" ht="15.75" customHeight="1">
      <c r="A23" s="53" t="s">
        <v>428</v>
      </c>
      <c r="B23" s="53" t="s">
        <v>429</v>
      </c>
      <c r="C23" s="392">
        <v>0.65</v>
      </c>
      <c r="D23" s="103">
        <v>4559885</v>
      </c>
      <c r="E23" s="103">
        <v>2744730</v>
      </c>
      <c r="F23" s="393">
        <v>0.26500000000000001</v>
      </c>
      <c r="G23" s="392">
        <f t="shared" si="2"/>
        <v>0.29265135521794255</v>
      </c>
      <c r="H23" s="604"/>
      <c r="I23" s="605"/>
      <c r="J23" s="391"/>
      <c r="K23" s="391"/>
      <c r="L23" s="391"/>
    </row>
    <row r="24" spans="1:25" ht="15.75" customHeight="1">
      <c r="A24" s="53" t="s">
        <v>431</v>
      </c>
      <c r="B24" s="53" t="s">
        <v>432</v>
      </c>
      <c r="C24" s="392">
        <v>0.83</v>
      </c>
      <c r="D24" s="103">
        <v>1086200</v>
      </c>
      <c r="E24" s="103">
        <v>431110</v>
      </c>
      <c r="F24" s="393">
        <v>0.21</v>
      </c>
      <c r="G24" s="392">
        <f t="shared" si="2"/>
        <v>0.27755125627517052</v>
      </c>
      <c r="H24" s="604"/>
      <c r="I24" s="605"/>
      <c r="J24" s="391"/>
      <c r="K24" s="391"/>
      <c r="L24" s="391"/>
    </row>
    <row r="25" spans="1:25" ht="15.75" customHeight="1">
      <c r="A25" s="53" t="s">
        <v>433</v>
      </c>
      <c r="B25" s="53" t="s">
        <v>434</v>
      </c>
      <c r="C25" s="392">
        <v>0.28000000000000003</v>
      </c>
      <c r="D25" s="103">
        <v>41592811.229999997</v>
      </c>
      <c r="E25" s="103">
        <v>74810330</v>
      </c>
      <c r="F25" s="393">
        <v>0.3</v>
      </c>
      <c r="G25" s="394">
        <f t="shared" si="2"/>
        <v>0.20155720340601241</v>
      </c>
      <c r="H25" s="604"/>
      <c r="I25" s="605"/>
      <c r="J25" s="391"/>
      <c r="K25" s="391"/>
      <c r="L25" s="391"/>
      <c r="O25" s="7"/>
    </row>
    <row r="26" spans="1:25" ht="15.75" customHeight="1">
      <c r="A26" s="53" t="s">
        <v>435</v>
      </c>
      <c r="B26" s="53" t="s">
        <v>436</v>
      </c>
      <c r="C26" s="392">
        <v>0.31</v>
      </c>
      <c r="D26" s="103">
        <v>19871000</v>
      </c>
      <c r="E26" s="103">
        <v>20588320</v>
      </c>
      <c r="F26" s="393">
        <v>0.34</v>
      </c>
      <c r="G26" s="394">
        <f t="shared" si="2"/>
        <v>0.18937023746720635</v>
      </c>
      <c r="H26" s="604"/>
      <c r="I26" s="605"/>
      <c r="J26" s="391"/>
      <c r="K26" s="391"/>
      <c r="L26" s="391"/>
      <c r="O26" s="7"/>
    </row>
    <row r="27" spans="1:25" ht="15.75" customHeight="1">
      <c r="A27" s="395" t="s">
        <v>437</v>
      </c>
      <c r="B27" s="395" t="s">
        <v>438</v>
      </c>
      <c r="C27" s="396">
        <v>0.34</v>
      </c>
      <c r="D27" s="247">
        <v>1254932</v>
      </c>
      <c r="E27" s="247">
        <v>4466340</v>
      </c>
      <c r="F27" s="397">
        <v>0.21</v>
      </c>
      <c r="G27" s="398">
        <f t="shared" si="2"/>
        <v>0.27823909439611105</v>
      </c>
      <c r="H27" s="604"/>
      <c r="I27" s="605"/>
      <c r="J27" s="391"/>
      <c r="K27" s="391"/>
      <c r="L27" s="391"/>
      <c r="O27" s="7"/>
    </row>
    <row r="28" spans="1:25" ht="15" customHeight="1">
      <c r="A28" s="399"/>
      <c r="B28" s="400"/>
      <c r="C28" s="401"/>
      <c r="D28" s="601" t="s">
        <v>439</v>
      </c>
      <c r="E28" s="584"/>
      <c r="F28" s="596"/>
      <c r="G28" s="402">
        <f>MEDIAN(G20:G27)</f>
        <v>0.2521455854184787</v>
      </c>
      <c r="H28" s="403"/>
      <c r="I28" s="7"/>
      <c r="J28" s="7"/>
      <c r="K28" s="7"/>
      <c r="L28" s="7"/>
      <c r="O28" s="7"/>
    </row>
    <row r="29" spans="1:25" ht="15.75" customHeight="1">
      <c r="A29" s="7"/>
      <c r="B29" s="7"/>
      <c r="E29" s="29"/>
      <c r="F29" s="7"/>
      <c r="G29" s="7"/>
      <c r="I29" s="266"/>
      <c r="J29" s="266"/>
      <c r="K29" s="266"/>
      <c r="M29" s="7"/>
      <c r="N29" s="7"/>
      <c r="O29" s="7"/>
      <c r="V29" s="7"/>
      <c r="W29" s="7"/>
      <c r="X29" s="7"/>
      <c r="Y29" s="7"/>
    </row>
    <row r="30" spans="1:25" ht="15" customHeight="1">
      <c r="A30" s="404"/>
      <c r="B30" s="696" t="s">
        <v>440</v>
      </c>
      <c r="C30" s="405" t="s">
        <v>441</v>
      </c>
      <c r="D30" s="405" t="s">
        <v>417</v>
      </c>
      <c r="E30" s="405" t="s">
        <v>442</v>
      </c>
      <c r="F30" s="406" t="s">
        <v>420</v>
      </c>
      <c r="G30" s="407" t="s">
        <v>421</v>
      </c>
      <c r="H30" s="266"/>
      <c r="I30" s="266"/>
      <c r="J30" s="266"/>
      <c r="K30" s="266"/>
      <c r="M30" s="213"/>
      <c r="N30" s="213"/>
      <c r="O30" s="213"/>
      <c r="V30" s="7"/>
      <c r="W30" s="7"/>
      <c r="X30" s="7"/>
      <c r="Y30" s="7"/>
    </row>
    <row r="31" spans="1:25" ht="15.75" customHeight="1">
      <c r="A31" s="7"/>
      <c r="B31" s="254" t="s">
        <v>443</v>
      </c>
      <c r="C31" s="79">
        <v>101</v>
      </c>
      <c r="D31" s="408">
        <v>0.78</v>
      </c>
      <c r="E31" s="280">
        <v>0.49969999999999998</v>
      </c>
      <c r="F31" s="280">
        <v>0.1767</v>
      </c>
      <c r="G31" s="408">
        <v>0.56999999999999995</v>
      </c>
      <c r="H31" s="598" t="s">
        <v>444</v>
      </c>
      <c r="I31" s="599"/>
      <c r="J31" s="599"/>
      <c r="K31" s="266"/>
      <c r="M31" s="213"/>
      <c r="N31" s="213"/>
      <c r="O31" s="213"/>
      <c r="P31" s="7"/>
      <c r="Q31" s="7"/>
      <c r="R31" s="7"/>
      <c r="S31" s="7"/>
      <c r="T31" s="7"/>
      <c r="U31" s="7"/>
      <c r="V31" s="7"/>
      <c r="W31" s="7"/>
      <c r="X31" s="7"/>
      <c r="Y31" s="7"/>
    </row>
    <row r="32" spans="1:25" ht="15.75" customHeight="1">
      <c r="A32" s="7"/>
      <c r="B32" s="44" t="s">
        <v>70</v>
      </c>
      <c r="C32" s="30">
        <v>42</v>
      </c>
      <c r="D32" s="23">
        <v>1.1000000000000001</v>
      </c>
      <c r="E32" s="8">
        <v>1.2417</v>
      </c>
      <c r="F32" s="8">
        <v>0.1002</v>
      </c>
      <c r="G32" s="23">
        <v>0.56999999999999995</v>
      </c>
      <c r="H32" s="598"/>
      <c r="I32" s="599"/>
      <c r="J32" s="599"/>
      <c r="K32" s="266"/>
      <c r="M32" s="409"/>
      <c r="N32" s="213"/>
      <c r="O32" s="213"/>
      <c r="Q32" s="7"/>
      <c r="R32" s="7"/>
      <c r="S32" s="7"/>
      <c r="T32" s="7"/>
      <c r="U32" s="7"/>
      <c r="V32" s="7"/>
      <c r="W32" s="7"/>
      <c r="X32" s="7"/>
      <c r="Y32" s="7"/>
    </row>
    <row r="33" spans="1:25" ht="15.75" customHeight="1">
      <c r="A33" s="7"/>
      <c r="B33" s="262" t="s">
        <v>446</v>
      </c>
      <c r="C33" s="98">
        <v>283</v>
      </c>
      <c r="D33" s="410">
        <v>0.73</v>
      </c>
      <c r="E33" s="290">
        <v>0.73180000000000001</v>
      </c>
      <c r="F33" s="290">
        <v>0.154</v>
      </c>
      <c r="G33" s="410">
        <v>0.47</v>
      </c>
      <c r="H33" s="598"/>
      <c r="I33" s="599"/>
      <c r="J33" s="599"/>
      <c r="K33" s="266"/>
      <c r="M33" s="213"/>
      <c r="N33" s="213"/>
      <c r="O33" s="213"/>
      <c r="P33" s="7"/>
      <c r="Q33" s="7"/>
      <c r="R33" s="7"/>
      <c r="S33" s="7"/>
      <c r="T33" s="7"/>
      <c r="U33" s="7"/>
      <c r="V33" s="7"/>
      <c r="W33" s="7"/>
      <c r="X33" s="7"/>
      <c r="Y33" s="7"/>
    </row>
    <row r="34" spans="1:25" ht="15.75" customHeight="1">
      <c r="A34" s="7"/>
      <c r="B34" s="262"/>
      <c r="C34" s="98"/>
      <c r="D34" s="98"/>
      <c r="E34" s="411"/>
      <c r="F34" s="411" t="s">
        <v>439</v>
      </c>
      <c r="G34" s="412">
        <f>MEDIAN(G31:G33)</f>
        <v>0.56999999999999995</v>
      </c>
      <c r="H34" s="266"/>
      <c r="I34" s="266"/>
      <c r="J34" s="266"/>
      <c r="K34" s="266"/>
      <c r="M34" s="213"/>
      <c r="N34" s="213"/>
      <c r="O34" s="213"/>
      <c r="P34" s="7"/>
      <c r="Q34" s="7"/>
      <c r="R34" s="7"/>
      <c r="S34" s="7"/>
      <c r="T34" s="7"/>
      <c r="U34" s="7"/>
      <c r="V34" s="7"/>
      <c r="W34" s="7"/>
      <c r="X34" s="7"/>
      <c r="Y34" s="7"/>
    </row>
    <row r="35" spans="1:25" ht="15.75" customHeight="1">
      <c r="A35" s="7"/>
      <c r="B35" s="7"/>
      <c r="C35" s="30"/>
      <c r="D35" s="30"/>
      <c r="E35" s="413"/>
      <c r="F35" s="413"/>
      <c r="G35" s="414"/>
      <c r="H35" s="266"/>
      <c r="I35" s="266"/>
      <c r="J35" s="266"/>
      <c r="K35" s="266"/>
      <c r="M35" s="415"/>
      <c r="N35" s="415"/>
      <c r="O35" s="415"/>
      <c r="P35" s="7"/>
      <c r="Q35" s="7"/>
      <c r="R35" s="7"/>
      <c r="S35" s="7"/>
      <c r="T35" s="7"/>
      <c r="U35" s="7"/>
      <c r="V35" s="7"/>
      <c r="W35" s="7"/>
      <c r="X35" s="7"/>
      <c r="Y35" s="7"/>
    </row>
    <row r="36" spans="1:25" ht="15" customHeight="1">
      <c r="A36" s="7"/>
      <c r="B36" s="524" t="s">
        <v>448</v>
      </c>
      <c r="C36" s="525"/>
      <c r="D36" s="526"/>
      <c r="E36" s="530"/>
      <c r="F36" s="5"/>
      <c r="G36" s="5"/>
      <c r="H36" s="5"/>
      <c r="I36" s="5"/>
      <c r="J36" s="5"/>
      <c r="K36" s="5"/>
      <c r="L36" s="5"/>
      <c r="M36" s="5"/>
      <c r="N36" s="5"/>
      <c r="O36" s="5"/>
      <c r="P36" s="7"/>
      <c r="Q36" s="7"/>
      <c r="R36" s="7"/>
      <c r="S36" s="7"/>
      <c r="T36" s="7"/>
      <c r="U36" s="7"/>
      <c r="V36" s="7"/>
      <c r="W36" s="7"/>
      <c r="X36" s="7"/>
      <c r="Y36" s="7"/>
    </row>
    <row r="37" spans="1:25" ht="15.75" customHeight="1">
      <c r="A37" s="7"/>
      <c r="B37" s="652" t="e" vm="1">
        <v>#VALUE!</v>
      </c>
      <c r="C37" s="4"/>
      <c r="D37" s="653" cm="1">
        <f t="array" aca="1" ref="D37" ca="1">(_FV(B37,"Previous close",TRUE))/100</f>
        <v>4.6580000000000003E-2</v>
      </c>
      <c r="E37" s="527" t="s">
        <v>730</v>
      </c>
      <c r="F37" s="5"/>
      <c r="G37" s="5"/>
      <c r="H37" s="5"/>
      <c r="I37" s="5"/>
      <c r="O37" s="5"/>
      <c r="P37" s="7"/>
      <c r="Q37" s="7"/>
      <c r="R37" s="7"/>
      <c r="S37" s="7"/>
      <c r="T37" s="7"/>
      <c r="U37" s="7"/>
      <c r="V37" s="7"/>
      <c r="W37" s="7"/>
      <c r="X37" s="7"/>
      <c r="Y37" s="7"/>
    </row>
    <row r="38" spans="1:25" ht="15.75" customHeight="1">
      <c r="A38" s="7"/>
      <c r="B38" s="44" t="s">
        <v>449</v>
      </c>
      <c r="C38" s="29"/>
      <c r="D38" s="699">
        <f>'ERPs by Country'!E3</f>
        <v>4.1700000000000001E-2</v>
      </c>
      <c r="E38" s="531" t="s">
        <v>731</v>
      </c>
      <c r="I38" s="418"/>
      <c r="J38" s="5"/>
      <c r="K38" s="7"/>
      <c r="L38" s="7"/>
      <c r="M38" s="7"/>
      <c r="O38" s="7"/>
      <c r="P38" s="7"/>
      <c r="Q38" s="7"/>
      <c r="R38" s="7"/>
      <c r="S38" s="7"/>
      <c r="T38" s="7"/>
      <c r="U38" s="7"/>
      <c r="V38" s="7"/>
      <c r="W38" s="7"/>
      <c r="X38" s="7"/>
      <c r="Y38" s="7"/>
    </row>
    <row r="39" spans="1:25" ht="15.75" customHeight="1">
      <c r="A39" s="7"/>
      <c r="B39" s="44" t="s">
        <v>450</v>
      </c>
      <c r="C39" s="29"/>
      <c r="D39" s="700">
        <f>'ERPs by Country'!F17</f>
        <v>5.1299999999999998E-2</v>
      </c>
      <c r="E39" s="651" t="s">
        <v>445</v>
      </c>
      <c r="F39" s="5"/>
      <c r="G39" s="5"/>
      <c r="H39" s="5"/>
      <c r="I39" s="5"/>
      <c r="J39" s="5"/>
      <c r="K39" s="7"/>
      <c r="L39" s="7"/>
      <c r="M39" s="7"/>
      <c r="O39" s="7"/>
      <c r="P39" s="7"/>
      <c r="Q39" s="7"/>
      <c r="R39" s="7"/>
      <c r="S39" s="7"/>
      <c r="T39" s="7"/>
      <c r="U39" s="7"/>
      <c r="V39" s="7"/>
      <c r="W39" s="7"/>
      <c r="X39" s="7"/>
      <c r="Y39" s="7"/>
    </row>
    <row r="40" spans="1:25" ht="15" customHeight="1">
      <c r="A40" s="7"/>
      <c r="B40" s="262" t="s">
        <v>451</v>
      </c>
      <c r="C40" s="217"/>
      <c r="D40" s="701">
        <f>G34*(1+(1-0%)*(C61+C62)/C57)</f>
        <v>2.0699965351000147</v>
      </c>
      <c r="E40" s="420"/>
      <c r="F40" s="421"/>
      <c r="G40" s="421"/>
      <c r="H40" s="421"/>
      <c r="I40" s="421"/>
      <c r="J40" s="421"/>
      <c r="K40" s="421"/>
      <c r="L40" s="421"/>
      <c r="M40" s="421"/>
      <c r="N40" s="421"/>
      <c r="O40" s="421"/>
      <c r="P40" s="421"/>
      <c r="Q40" s="421"/>
      <c r="R40" s="7"/>
      <c r="S40" s="7"/>
      <c r="T40" s="7"/>
      <c r="U40" s="7"/>
      <c r="V40" s="7"/>
      <c r="W40" s="7"/>
      <c r="X40" s="7"/>
      <c r="Y40" s="7"/>
    </row>
    <row r="41" spans="1:25" ht="15.75" customHeight="1">
      <c r="A41" s="7"/>
      <c r="D41" s="4"/>
      <c r="E41" s="421"/>
      <c r="F41" s="421"/>
      <c r="G41" s="421"/>
      <c r="H41" s="421"/>
      <c r="I41" s="421"/>
      <c r="J41" s="421"/>
      <c r="K41" s="421"/>
      <c r="L41" s="421"/>
      <c r="M41" s="421"/>
      <c r="N41" s="421"/>
      <c r="O41" s="421"/>
      <c r="P41" s="421"/>
      <c r="Q41" s="421"/>
      <c r="R41" s="7"/>
      <c r="S41" s="7"/>
      <c r="T41" s="7"/>
      <c r="U41" s="7"/>
      <c r="V41" s="7"/>
      <c r="W41" s="7"/>
      <c r="X41" s="7"/>
      <c r="Y41" s="7"/>
    </row>
    <row r="42" spans="1:25" ht="15.75" customHeight="1">
      <c r="A42" s="7"/>
      <c r="B42" s="580" t="s">
        <v>452</v>
      </c>
      <c r="C42" s="581"/>
      <c r="D42" s="582"/>
      <c r="E42" s="703"/>
      <c r="F42" s="702"/>
      <c r="G42" s="702"/>
      <c r="H42" s="702"/>
      <c r="I42" s="702"/>
      <c r="J42" s="702"/>
      <c r="K42" s="702"/>
      <c r="L42" s="702"/>
      <c r="M42" s="702"/>
      <c r="N42" s="7"/>
      <c r="O42" s="7"/>
      <c r="P42" s="7"/>
      <c r="Q42" s="7"/>
      <c r="R42" s="7"/>
      <c r="S42" s="7"/>
      <c r="T42" s="7"/>
      <c r="U42" s="7"/>
      <c r="V42" s="7"/>
      <c r="W42" s="7"/>
      <c r="X42" s="7"/>
      <c r="Y42" s="7"/>
    </row>
    <row r="43" spans="1:25" ht="15.75" customHeight="1">
      <c r="A43" s="7"/>
      <c r="B43" s="652" t="e" vm="1">
        <v>#VALUE!</v>
      </c>
      <c r="C43" s="4"/>
      <c r="D43" s="653" cm="1">
        <f t="array" aca="1" ref="D43" ca="1">(_FV(B43,"Previous close",TRUE))/100</f>
        <v>4.6580000000000003E-2</v>
      </c>
      <c r="E43" s="527" t="s">
        <v>730</v>
      </c>
      <c r="F43" s="661"/>
      <c r="G43" s="661"/>
      <c r="H43" s="661"/>
      <c r="I43" s="7"/>
      <c r="J43" s="7"/>
      <c r="K43" s="7"/>
      <c r="L43" s="7"/>
      <c r="M43" s="7"/>
      <c r="N43" s="7"/>
      <c r="O43" s="7"/>
      <c r="P43" s="7"/>
      <c r="Q43" s="7"/>
      <c r="R43" s="7"/>
      <c r="S43" s="7"/>
      <c r="T43" s="7"/>
      <c r="U43" s="7"/>
      <c r="V43" s="7"/>
      <c r="W43" s="7"/>
      <c r="X43" s="7"/>
      <c r="Y43" s="7"/>
    </row>
    <row r="44" spans="1:25" ht="15.75" customHeight="1">
      <c r="A44" s="7"/>
      <c r="B44" s="654" t="s">
        <v>732</v>
      </c>
      <c r="C44" s="655"/>
      <c r="D44" s="656">
        <f>'Income Statement'!H31/-'Income Statement'!H36</f>
        <v>2.4819237407725643</v>
      </c>
      <c r="E44" s="563"/>
      <c r="F44" s="545"/>
      <c r="G44" s="545"/>
      <c r="H44" s="545"/>
      <c r="J44" s="7"/>
      <c r="K44" s="7"/>
      <c r="L44" s="7"/>
      <c r="M44" s="7"/>
      <c r="N44" s="7"/>
      <c r="O44" s="7"/>
      <c r="P44" s="7"/>
      <c r="Q44" s="7"/>
      <c r="R44" s="7"/>
      <c r="S44" s="7"/>
      <c r="T44" s="7"/>
      <c r="U44" s="7"/>
      <c r="V44" s="7"/>
      <c r="W44" s="7"/>
      <c r="X44" s="7"/>
      <c r="Y44" s="7"/>
    </row>
    <row r="45" spans="1:25" ht="15.75" customHeight="1">
      <c r="A45" s="7"/>
      <c r="B45" s="654" t="s">
        <v>733</v>
      </c>
      <c r="C45" s="655"/>
      <c r="D45" s="657">
        <v>1.11E-2</v>
      </c>
      <c r="E45" s="563" t="s">
        <v>737</v>
      </c>
      <c r="F45" s="545"/>
      <c r="G45" s="545"/>
      <c r="H45" s="545"/>
      <c r="I45" s="662" t="s">
        <v>445</v>
      </c>
      <c r="J45" s="7"/>
      <c r="K45" s="7"/>
      <c r="L45" s="7"/>
      <c r="M45" s="7"/>
      <c r="N45" s="7"/>
      <c r="O45" s="7"/>
      <c r="P45" s="7"/>
      <c r="Q45" s="7"/>
      <c r="R45" s="7"/>
      <c r="S45" s="7"/>
      <c r="T45" s="7"/>
      <c r="U45" s="7"/>
      <c r="V45" s="7"/>
      <c r="W45" s="7"/>
      <c r="X45" s="7"/>
      <c r="Y45" s="7"/>
    </row>
    <row r="46" spans="1:25" ht="15.6">
      <c r="A46" s="7"/>
      <c r="B46" s="654" t="s">
        <v>734</v>
      </c>
      <c r="C46" s="655"/>
      <c r="D46" s="657">
        <f ca="1">SUM(D43,D45)</f>
        <v>5.7680000000000002E-2</v>
      </c>
      <c r="F46" s="661"/>
      <c r="G46" s="661"/>
      <c r="H46" s="661"/>
      <c r="I46" s="7"/>
      <c r="J46" s="7"/>
      <c r="K46" s="7"/>
      <c r="L46" s="7"/>
      <c r="M46" s="7"/>
      <c r="N46" s="7"/>
      <c r="O46" s="7"/>
      <c r="P46" s="7"/>
      <c r="Q46" s="7"/>
      <c r="R46" s="7"/>
      <c r="S46" s="7"/>
      <c r="T46" s="7"/>
      <c r="U46" s="7"/>
      <c r="V46" s="7"/>
      <c r="W46" s="7"/>
      <c r="X46" s="7"/>
      <c r="Y46" s="7"/>
    </row>
    <row r="47" spans="1:25" ht="15.75" customHeight="1">
      <c r="A47" s="7"/>
      <c r="B47" s="654" t="s">
        <v>735</v>
      </c>
      <c r="C47" s="655"/>
      <c r="D47" s="657">
        <f>'ERPs by Country'!D17</f>
        <v>3.3000000000000002E-2</v>
      </c>
      <c r="E47" s="533" t="s">
        <v>738</v>
      </c>
      <c r="F47" s="7"/>
      <c r="G47" s="7"/>
      <c r="H47" s="7"/>
      <c r="I47" s="7"/>
      <c r="J47" s="7"/>
      <c r="K47" s="7"/>
      <c r="L47" s="7"/>
      <c r="M47" s="7"/>
      <c r="N47" s="7"/>
      <c r="O47" s="7"/>
      <c r="P47" s="7"/>
      <c r="Q47" s="7"/>
      <c r="R47" s="7"/>
      <c r="S47" s="7"/>
      <c r="T47" s="7"/>
      <c r="U47" s="7"/>
      <c r="V47" s="7"/>
      <c r="W47" s="7"/>
      <c r="X47" s="7"/>
      <c r="Y47" s="7"/>
    </row>
    <row r="48" spans="1:25" ht="15.75" customHeight="1">
      <c r="A48" s="7"/>
      <c r="B48" s="658" t="s">
        <v>736</v>
      </c>
      <c r="C48" s="659"/>
      <c r="D48" s="660">
        <f ca="1">SUM(D46:D47)*(1-0%)</f>
        <v>9.0680000000000011E-2</v>
      </c>
      <c r="E48" s="535"/>
      <c r="F48" s="7"/>
      <c r="G48" s="7"/>
      <c r="H48" s="7"/>
      <c r="I48" s="7"/>
      <c r="J48" s="7"/>
      <c r="K48" s="7"/>
      <c r="L48" s="7"/>
      <c r="M48" s="7"/>
      <c r="N48" s="7"/>
      <c r="O48" s="7"/>
      <c r="P48" s="7"/>
      <c r="Q48" s="7"/>
      <c r="R48" s="7"/>
      <c r="S48" s="7"/>
      <c r="T48" s="7"/>
      <c r="U48" s="7"/>
      <c r="V48" s="7"/>
      <c r="W48" s="7"/>
      <c r="X48" s="7"/>
      <c r="Y48" s="7"/>
    </row>
    <row r="49" spans="1:25" ht="15.75" customHeight="1">
      <c r="A49" s="7"/>
      <c r="B49" s="14"/>
      <c r="C49" s="29"/>
      <c r="D49" s="419"/>
      <c r="E49" s="7"/>
      <c r="F49" s="7"/>
      <c r="G49" s="7"/>
      <c r="H49" s="7"/>
      <c r="I49" s="7"/>
      <c r="J49" s="7"/>
      <c r="K49" s="7"/>
      <c r="L49" s="7"/>
      <c r="M49" s="7"/>
      <c r="N49" s="7"/>
      <c r="O49" s="7"/>
      <c r="P49" s="7"/>
      <c r="Q49" s="7"/>
      <c r="R49" s="7"/>
      <c r="S49" s="7"/>
      <c r="T49" s="7"/>
      <c r="U49" s="7"/>
      <c r="V49" s="7"/>
      <c r="W49" s="7"/>
      <c r="X49" s="7"/>
      <c r="Y49" s="7"/>
    </row>
    <row r="50" spans="1:25" ht="15.75" customHeight="1">
      <c r="A50" s="7"/>
      <c r="B50" s="583" t="s">
        <v>453</v>
      </c>
      <c r="C50" s="581"/>
      <c r="D50" s="582"/>
      <c r="E50" s="7"/>
      <c r="F50" s="7"/>
      <c r="G50" s="7"/>
      <c r="H50" s="7"/>
      <c r="I50" s="7"/>
      <c r="J50" s="7"/>
      <c r="K50" s="7"/>
      <c r="L50" s="7"/>
      <c r="M50" s="7"/>
      <c r="N50" s="7"/>
      <c r="O50" s="7"/>
      <c r="P50" s="7"/>
      <c r="Q50" s="7"/>
      <c r="R50" s="7"/>
      <c r="S50" s="7"/>
      <c r="T50" s="7"/>
      <c r="U50" s="7"/>
      <c r="V50" s="7"/>
      <c r="W50" s="7"/>
      <c r="X50" s="7"/>
      <c r="Y50" s="7"/>
    </row>
    <row r="51" spans="1:25" ht="15.75" customHeight="1">
      <c r="A51" s="7"/>
      <c r="B51" s="698" t="s">
        <v>453</v>
      </c>
      <c r="C51" s="217"/>
      <c r="D51" s="697">
        <v>0.08</v>
      </c>
      <c r="E51" s="562" t="s">
        <v>743</v>
      </c>
      <c r="F51" s="7"/>
      <c r="G51" s="7"/>
      <c r="H51" s="7"/>
      <c r="I51" s="7"/>
      <c r="J51" s="7"/>
      <c r="K51" s="7"/>
      <c r="L51" s="7"/>
      <c r="M51" s="7"/>
      <c r="N51" s="7"/>
      <c r="O51" s="7"/>
      <c r="P51" s="7"/>
      <c r="Q51" s="7"/>
      <c r="R51" s="7"/>
      <c r="S51" s="7"/>
      <c r="T51" s="7"/>
      <c r="U51" s="7"/>
      <c r="V51" s="7"/>
      <c r="W51" s="7"/>
      <c r="X51" s="7"/>
      <c r="Y51" s="7"/>
    </row>
    <row r="52" spans="1:25" ht="15.75" customHeight="1">
      <c r="A52" s="7"/>
      <c r="B52" s="14"/>
      <c r="C52" s="64"/>
      <c r="D52" s="7"/>
      <c r="E52" s="663"/>
      <c r="F52" s="663"/>
      <c r="G52" s="663"/>
      <c r="H52" s="663"/>
      <c r="I52" s="663"/>
      <c r="J52" s="663"/>
      <c r="K52" s="663"/>
      <c r="L52" s="7"/>
      <c r="M52" s="7"/>
      <c r="N52" s="7"/>
      <c r="O52" s="7"/>
      <c r="P52" s="7"/>
      <c r="Q52" s="7"/>
      <c r="R52" s="7"/>
      <c r="S52" s="7"/>
      <c r="T52" s="7"/>
      <c r="U52" s="7"/>
      <c r="V52" s="7"/>
      <c r="W52" s="7"/>
      <c r="X52" s="7"/>
      <c r="Y52" s="7"/>
    </row>
    <row r="53" spans="1:25" ht="15" customHeight="1">
      <c r="A53" s="7"/>
      <c r="B53" s="142" t="s">
        <v>454</v>
      </c>
      <c r="C53" s="669">
        <f ca="1">D37+(D40*D38)+D39</f>
        <v>0.1841988555136706</v>
      </c>
      <c r="D53" s="7"/>
      <c r="E53" s="663"/>
      <c r="F53" s="663"/>
      <c r="G53" s="663"/>
      <c r="H53" s="663"/>
      <c r="I53" s="663"/>
      <c r="J53" s="663"/>
      <c r="K53" s="663"/>
      <c r="L53" s="7"/>
      <c r="M53" s="7"/>
      <c r="N53" s="7"/>
      <c r="O53" s="7"/>
      <c r="P53" s="7"/>
      <c r="Q53" s="7"/>
      <c r="R53" s="7"/>
      <c r="S53" s="7"/>
      <c r="T53" s="7"/>
      <c r="U53" s="7"/>
      <c r="V53" s="7"/>
      <c r="W53" s="7"/>
      <c r="X53" s="7"/>
      <c r="Y53" s="7"/>
    </row>
    <row r="54" spans="1:25" ht="15.75" customHeight="1">
      <c r="A54" s="7"/>
      <c r="B54" s="88" t="s">
        <v>452</v>
      </c>
      <c r="C54" s="422">
        <f ca="1">D48</f>
        <v>9.0680000000000011E-2</v>
      </c>
      <c r="D54" s="7"/>
      <c r="E54" s="663"/>
      <c r="F54" s="663"/>
      <c r="G54" s="663"/>
      <c r="H54" s="663"/>
      <c r="I54" s="663"/>
      <c r="J54" s="663"/>
      <c r="K54" s="663"/>
      <c r="L54" s="7"/>
      <c r="M54" s="7"/>
      <c r="N54" s="7"/>
      <c r="O54" s="7"/>
      <c r="P54" s="7"/>
      <c r="Q54" s="7"/>
      <c r="R54" s="7"/>
      <c r="S54" s="7"/>
      <c r="T54" s="7"/>
      <c r="U54" s="7"/>
      <c r="V54" s="7"/>
      <c r="W54" s="7"/>
      <c r="X54" s="7"/>
      <c r="Y54" s="7"/>
    </row>
    <row r="55" spans="1:25" ht="15.75" customHeight="1">
      <c r="A55" s="7"/>
      <c r="B55" s="88" t="s">
        <v>453</v>
      </c>
      <c r="C55" s="423">
        <f>D51</f>
        <v>0.08</v>
      </c>
      <c r="D55" s="7"/>
      <c r="E55" s="663"/>
      <c r="F55" s="663"/>
      <c r="G55" s="663"/>
      <c r="H55" s="663"/>
      <c r="I55" s="663"/>
      <c r="J55" s="663"/>
      <c r="K55" s="663"/>
      <c r="L55" s="7"/>
      <c r="M55" s="7"/>
      <c r="N55" s="7"/>
      <c r="O55" s="7"/>
      <c r="P55" s="7"/>
      <c r="Q55" s="7"/>
      <c r="R55" s="7"/>
      <c r="S55" s="7"/>
      <c r="T55" s="7"/>
      <c r="U55" s="7"/>
      <c r="V55" s="7"/>
      <c r="W55" s="7"/>
      <c r="X55" s="7"/>
      <c r="Y55" s="7"/>
    </row>
    <row r="56" spans="1:25" ht="15.75" customHeight="1">
      <c r="A56" s="7"/>
      <c r="B56" s="88"/>
      <c r="C56" s="424"/>
      <c r="D56" s="7"/>
      <c r="E56" s="663"/>
      <c r="F56" s="663"/>
      <c r="G56" s="663"/>
      <c r="H56" s="663"/>
      <c r="I56" s="663"/>
      <c r="J56" s="663"/>
      <c r="K56" s="663"/>
      <c r="L56" s="7"/>
      <c r="M56" s="7"/>
      <c r="N56" s="7"/>
      <c r="O56" s="7"/>
      <c r="P56" s="7"/>
      <c r="Q56" s="7"/>
      <c r="R56" s="7"/>
      <c r="S56" s="7"/>
      <c r="T56" s="7"/>
      <c r="U56" s="7"/>
      <c r="V56" s="7"/>
      <c r="W56" s="7"/>
      <c r="X56" s="7"/>
      <c r="Y56" s="7"/>
    </row>
    <row r="57" spans="1:25" ht="15.75" customHeight="1">
      <c r="A57" s="7"/>
      <c r="B57" s="88" t="s">
        <v>455</v>
      </c>
      <c r="C57" s="425">
        <f>C58*C59</f>
        <v>164056.68341999999</v>
      </c>
      <c r="D57" s="7"/>
      <c r="E57" s="663"/>
      <c r="F57" s="663"/>
      <c r="G57" s="663"/>
      <c r="H57" s="663"/>
      <c r="I57" s="663"/>
      <c r="J57" s="663"/>
      <c r="K57" s="663"/>
      <c r="L57" s="7"/>
      <c r="M57" s="7"/>
      <c r="N57" s="7"/>
      <c r="O57" s="7"/>
      <c r="P57" s="7"/>
      <c r="Q57" s="7"/>
      <c r="R57" s="7"/>
      <c r="S57" s="7"/>
      <c r="T57" s="7"/>
      <c r="U57" s="7"/>
      <c r="V57" s="7"/>
      <c r="W57" s="7"/>
      <c r="X57" s="7"/>
      <c r="Y57" s="7"/>
    </row>
    <row r="58" spans="1:25" ht="15.75" customHeight="1">
      <c r="A58" s="7"/>
      <c r="B58" s="44" t="s">
        <v>10</v>
      </c>
      <c r="C58" s="426">
        <v>3.78</v>
      </c>
      <c r="D58" s="7"/>
      <c r="E58" s="663"/>
      <c r="F58" s="663"/>
      <c r="G58" s="663"/>
      <c r="H58" s="663"/>
      <c r="I58" s="663"/>
      <c r="J58" s="663"/>
      <c r="K58" s="663"/>
      <c r="L58" s="7"/>
      <c r="M58" s="7"/>
      <c r="N58" s="7"/>
      <c r="O58" s="7"/>
      <c r="P58" s="7"/>
      <c r="Q58" s="7"/>
      <c r="R58" s="7"/>
      <c r="S58" s="7"/>
      <c r="T58" s="7"/>
      <c r="U58" s="7"/>
      <c r="V58" s="7"/>
      <c r="W58" s="7"/>
      <c r="X58" s="7"/>
      <c r="Y58" s="7"/>
    </row>
    <row r="59" spans="1:25" ht="15.75" customHeight="1">
      <c r="A59" s="7"/>
      <c r="B59" s="44" t="s">
        <v>456</v>
      </c>
      <c r="C59" s="427">
        <f>'Income Statement'!H52</f>
        <v>43401.239000000001</v>
      </c>
      <c r="D59" s="7"/>
      <c r="E59" s="663"/>
      <c r="F59" s="663"/>
      <c r="G59" s="663"/>
      <c r="H59" s="663"/>
      <c r="I59" s="663"/>
      <c r="J59" s="663"/>
      <c r="K59" s="663"/>
      <c r="L59" s="7"/>
      <c r="M59" s="7"/>
      <c r="N59" s="7"/>
      <c r="O59" s="7"/>
      <c r="P59" s="7"/>
      <c r="Q59" s="7"/>
      <c r="R59" s="7"/>
      <c r="S59" s="7"/>
      <c r="T59" s="7"/>
      <c r="U59" s="7"/>
      <c r="V59" s="7"/>
      <c r="W59" s="7"/>
      <c r="X59" s="7"/>
      <c r="Y59" s="7"/>
    </row>
    <row r="60" spans="1:25" ht="15.75" customHeight="1">
      <c r="A60" s="7"/>
      <c r="B60" s="88"/>
      <c r="C60" s="424"/>
      <c r="D60" s="7"/>
      <c r="E60" s="663"/>
      <c r="F60" s="663"/>
      <c r="G60" s="663"/>
      <c r="H60" s="663"/>
      <c r="I60" s="663"/>
      <c r="J60" s="663"/>
      <c r="K60" s="663"/>
      <c r="L60" s="7"/>
      <c r="M60" s="7"/>
      <c r="N60" s="7"/>
      <c r="O60" s="7"/>
      <c r="P60" s="7"/>
      <c r="Q60" s="7"/>
      <c r="R60" s="7"/>
      <c r="S60" s="7"/>
      <c r="T60" s="7"/>
      <c r="U60" s="7"/>
      <c r="V60" s="7"/>
      <c r="W60" s="7"/>
      <c r="X60" s="7"/>
      <c r="Y60" s="7"/>
    </row>
    <row r="61" spans="1:25" ht="15.75" customHeight="1">
      <c r="A61" s="7"/>
      <c r="B61" s="88" t="s">
        <v>457</v>
      </c>
      <c r="C61" s="425">
        <f>'Balance Sheet'!H62</f>
        <v>97138.21699999999</v>
      </c>
      <c r="D61" s="7"/>
      <c r="E61" s="663"/>
      <c r="F61" s="663"/>
      <c r="G61" s="663"/>
      <c r="H61" s="663"/>
      <c r="I61" s="663"/>
      <c r="J61" s="663"/>
      <c r="K61" s="663"/>
      <c r="L61" s="7"/>
      <c r="M61" s="7"/>
      <c r="N61" s="7"/>
      <c r="O61" s="7"/>
      <c r="P61" s="7"/>
      <c r="Q61" s="7"/>
      <c r="R61" s="7"/>
      <c r="S61" s="7"/>
      <c r="T61" s="7"/>
      <c r="U61" s="7"/>
      <c r="V61" s="7"/>
      <c r="W61" s="7"/>
      <c r="X61" s="7"/>
      <c r="Y61" s="7"/>
    </row>
    <row r="62" spans="1:25" ht="15.75" customHeight="1">
      <c r="A62" s="7"/>
      <c r="B62" s="88" t="s">
        <v>458</v>
      </c>
      <c r="C62" s="425">
        <f>'Balance Sheet'!H64</f>
        <v>334588.90000000002</v>
      </c>
      <c r="D62" s="7"/>
      <c r="E62" s="663"/>
      <c r="F62" s="663"/>
      <c r="G62" s="663"/>
      <c r="H62" s="663"/>
      <c r="I62" s="663"/>
      <c r="J62" s="663"/>
      <c r="K62" s="663"/>
      <c r="L62" s="7"/>
      <c r="M62" s="7"/>
      <c r="N62" s="7"/>
      <c r="O62" s="7"/>
      <c r="P62" s="7"/>
      <c r="Q62" s="7"/>
      <c r="R62" s="7"/>
      <c r="S62" s="7"/>
      <c r="T62" s="7"/>
      <c r="U62" s="7"/>
      <c r="V62" s="7"/>
      <c r="W62" s="7"/>
      <c r="X62" s="7"/>
      <c r="Y62" s="7"/>
    </row>
    <row r="63" spans="1:25" ht="15.75" customHeight="1">
      <c r="A63" s="7"/>
      <c r="B63" s="88"/>
      <c r="C63" s="424"/>
      <c r="D63" s="7"/>
      <c r="E63" s="663"/>
      <c r="F63" s="663"/>
      <c r="G63" s="663"/>
      <c r="H63" s="663"/>
      <c r="I63" s="663"/>
      <c r="J63" s="663"/>
      <c r="K63" s="663"/>
      <c r="L63" s="7"/>
      <c r="M63" s="7"/>
      <c r="N63" s="7"/>
      <c r="O63" s="7"/>
      <c r="P63" s="7"/>
      <c r="Q63" s="7"/>
      <c r="R63" s="7"/>
      <c r="S63" s="7"/>
      <c r="T63" s="7"/>
      <c r="U63" s="7"/>
      <c r="V63" s="7"/>
      <c r="W63" s="7"/>
      <c r="X63" s="7"/>
      <c r="Y63" s="7"/>
    </row>
    <row r="64" spans="1:25" ht="15.75" customHeight="1">
      <c r="A64" s="7"/>
      <c r="B64" s="88" t="s">
        <v>459</v>
      </c>
      <c r="C64" s="428">
        <f>C57/(SUM(C57,C61,C62))</f>
        <v>0.27536277976062395</v>
      </c>
      <c r="D64" s="7"/>
      <c r="E64" s="663"/>
      <c r="F64" s="663"/>
      <c r="G64" s="663"/>
      <c r="H64" s="663"/>
      <c r="I64" s="663"/>
      <c r="J64" s="663"/>
      <c r="K64" s="663"/>
      <c r="L64" s="7"/>
      <c r="M64" s="7"/>
      <c r="N64" s="7"/>
      <c r="O64" s="7"/>
      <c r="P64" s="7"/>
      <c r="Q64" s="7"/>
      <c r="R64" s="7"/>
      <c r="S64" s="7"/>
      <c r="T64" s="7"/>
      <c r="U64" s="7"/>
      <c r="V64" s="7"/>
      <c r="W64" s="7"/>
      <c r="X64" s="7"/>
      <c r="Y64" s="7"/>
    </row>
    <row r="65" spans="1:25" ht="15.75" customHeight="1">
      <c r="A65" s="7"/>
      <c r="B65" s="88" t="s">
        <v>460</v>
      </c>
      <c r="C65" s="428">
        <f>C61/(SUM(C57,C61,C62))</f>
        <v>0.16304272947925413</v>
      </c>
      <c r="D65" s="7"/>
      <c r="E65" s="663"/>
      <c r="F65" s="663"/>
      <c r="G65" s="663"/>
      <c r="H65" s="663"/>
      <c r="I65" s="663"/>
      <c r="J65" s="663"/>
      <c r="K65" s="663"/>
      <c r="L65" s="7"/>
      <c r="M65" s="7"/>
      <c r="N65" s="7"/>
      <c r="O65" s="7"/>
      <c r="P65" s="7"/>
      <c r="Q65" s="7"/>
      <c r="R65" s="7"/>
      <c r="S65" s="7"/>
      <c r="T65" s="7"/>
      <c r="U65" s="7"/>
      <c r="V65" s="7"/>
      <c r="W65" s="7"/>
      <c r="X65" s="7"/>
      <c r="Y65" s="7"/>
    </row>
    <row r="66" spans="1:25" ht="15.75" customHeight="1">
      <c r="A66" s="7"/>
      <c r="B66" s="88" t="s">
        <v>461</v>
      </c>
      <c r="C66" s="428">
        <f>C62/SUM(C57,C61,C62)</f>
        <v>0.56159449076012191</v>
      </c>
      <c r="D66" s="7"/>
      <c r="E66" s="663"/>
      <c r="F66" s="663"/>
      <c r="G66" s="663"/>
      <c r="H66" s="663"/>
      <c r="I66" s="663"/>
      <c r="J66" s="663"/>
      <c r="K66" s="663"/>
      <c r="L66" s="7"/>
      <c r="M66" s="7"/>
      <c r="N66" s="7"/>
      <c r="O66" s="7"/>
      <c r="P66" s="7"/>
      <c r="Q66" s="7"/>
      <c r="R66" s="7"/>
      <c r="S66" s="7"/>
      <c r="T66" s="7"/>
      <c r="U66" s="7"/>
      <c r="V66" s="7"/>
      <c r="W66" s="7"/>
      <c r="X66" s="7"/>
      <c r="Y66" s="7"/>
    </row>
    <row r="67" spans="1:25" ht="15.75" customHeight="1">
      <c r="A67" s="7"/>
      <c r="B67" s="88"/>
      <c r="C67" s="424"/>
      <c r="D67" s="7"/>
      <c r="E67" s="663"/>
      <c r="F67" s="663"/>
      <c r="G67" s="663"/>
      <c r="H67" s="663"/>
      <c r="I67" s="663"/>
      <c r="J67" s="663"/>
      <c r="K67" s="663"/>
      <c r="L67" s="7"/>
      <c r="M67" s="7"/>
      <c r="N67" s="7"/>
      <c r="O67" s="7"/>
      <c r="P67" s="7"/>
      <c r="Q67" s="7"/>
      <c r="R67" s="7"/>
      <c r="S67" s="7"/>
      <c r="T67" s="7"/>
      <c r="U67" s="7"/>
      <c r="V67" s="7"/>
      <c r="W67" s="7"/>
      <c r="X67" s="7"/>
      <c r="Y67" s="7"/>
    </row>
    <row r="68" spans="1:25" ht="15.75" customHeight="1">
      <c r="A68" s="7"/>
      <c r="B68" s="664" t="s">
        <v>739</v>
      </c>
      <c r="C68" s="665">
        <f ca="1">(C64*C53)+(C65*C54)+(C66*C55)</f>
        <v>0.11043378285295839</v>
      </c>
      <c r="E68" s="663"/>
      <c r="F68" s="663"/>
      <c r="G68" s="663"/>
      <c r="H68" s="663"/>
      <c r="I68" s="663"/>
      <c r="J68" s="663"/>
      <c r="K68" s="663"/>
      <c r="L68" s="7"/>
      <c r="M68" s="7"/>
      <c r="N68" s="7"/>
      <c r="O68" s="7"/>
      <c r="P68" s="7"/>
      <c r="Q68" s="7"/>
      <c r="R68" s="7"/>
      <c r="S68" s="7"/>
      <c r="T68" s="7"/>
      <c r="U68" s="7"/>
      <c r="V68" s="7"/>
      <c r="W68" s="7"/>
      <c r="X68" s="7"/>
      <c r="Y68" s="7"/>
    </row>
    <row r="69" spans="1:25" ht="15.75" customHeight="1">
      <c r="A69" s="7"/>
      <c r="B69" s="429" t="s">
        <v>462</v>
      </c>
      <c r="C69" s="430">
        <f>Metrics!E22</f>
        <v>0.26398572102027335</v>
      </c>
      <c r="E69" s="266"/>
      <c r="F69" s="266"/>
      <c r="G69" s="266"/>
      <c r="H69" s="266"/>
      <c r="I69" s="266"/>
      <c r="J69" s="266"/>
      <c r="K69" s="266"/>
      <c r="L69" s="7"/>
      <c r="M69" s="7"/>
      <c r="N69" s="7"/>
      <c r="O69" s="7"/>
      <c r="P69" s="7"/>
      <c r="Q69" s="7"/>
      <c r="R69" s="7"/>
      <c r="S69" s="7"/>
      <c r="T69" s="7"/>
      <c r="U69" s="7"/>
      <c r="V69" s="7"/>
      <c r="W69" s="7"/>
      <c r="X69" s="7"/>
      <c r="Y69" s="7"/>
    </row>
    <row r="70" spans="1:25" ht="15.75" customHeight="1">
      <c r="A70" s="7"/>
      <c r="B70" s="7"/>
      <c r="C70" s="29"/>
      <c r="D70" s="7"/>
      <c r="E70" s="7"/>
      <c r="F70" s="7"/>
      <c r="G70" s="7"/>
      <c r="H70" s="7"/>
      <c r="I70" s="7"/>
      <c r="J70" s="7"/>
      <c r="K70" s="7"/>
      <c r="L70" s="7"/>
      <c r="M70" s="7"/>
      <c r="N70" s="7"/>
      <c r="O70" s="7"/>
      <c r="P70" s="7"/>
      <c r="Q70" s="7"/>
      <c r="R70" s="7"/>
      <c r="S70" s="7"/>
      <c r="T70" s="7"/>
      <c r="U70" s="7"/>
      <c r="V70" s="7"/>
      <c r="W70" s="7"/>
      <c r="X70" s="7"/>
      <c r="Y70" s="7"/>
    </row>
    <row r="71" spans="1:25" ht="15.75" customHeight="1">
      <c r="A71" s="7"/>
      <c r="B71" s="14" t="s">
        <v>463</v>
      </c>
      <c r="C71" s="64" t="s">
        <v>177</v>
      </c>
      <c r="D71" s="64">
        <v>1</v>
      </c>
      <c r="E71" s="64">
        <v>2</v>
      </c>
      <c r="F71" s="64">
        <v>3</v>
      </c>
      <c r="G71" s="64">
        <v>4</v>
      </c>
      <c r="H71" s="64">
        <v>5</v>
      </c>
      <c r="L71" s="7"/>
      <c r="M71" s="7"/>
      <c r="N71" s="7"/>
      <c r="O71" s="7"/>
      <c r="P71" s="7"/>
      <c r="Q71" s="7"/>
      <c r="R71" s="7"/>
      <c r="S71" s="7"/>
      <c r="T71" s="7"/>
      <c r="U71" s="7"/>
      <c r="V71" s="7"/>
      <c r="W71" s="7"/>
      <c r="X71" s="7"/>
      <c r="Y71" s="7"/>
    </row>
    <row r="72" spans="1:25" ht="15.75" customHeight="1">
      <c r="A72" s="7"/>
      <c r="B72" s="7"/>
      <c r="C72" s="29"/>
      <c r="D72" s="7"/>
      <c r="E72" s="30"/>
      <c r="F72" s="30"/>
      <c r="G72" s="30"/>
      <c r="H72" s="30"/>
      <c r="I72" s="30"/>
      <c r="L72" s="7"/>
      <c r="M72" s="7"/>
      <c r="N72" s="7"/>
      <c r="O72" s="7"/>
      <c r="P72" s="7"/>
      <c r="Q72" s="7"/>
      <c r="R72" s="7"/>
      <c r="S72" s="7"/>
      <c r="T72" s="7"/>
      <c r="U72" s="7"/>
      <c r="V72" s="7"/>
      <c r="W72" s="7"/>
      <c r="X72" s="7"/>
      <c r="Y72" s="7"/>
    </row>
    <row r="73" spans="1:25" ht="15.75" customHeight="1">
      <c r="A73" s="416"/>
      <c r="B73" s="416" t="s">
        <v>464</v>
      </c>
      <c r="C73" s="431" t="s">
        <v>53</v>
      </c>
      <c r="D73" s="432">
        <f ca="1">D16/(1+$C$68)^D71</f>
        <v>55805.916906695238</v>
      </c>
      <c r="E73" s="432">
        <f ca="1">E16/(1+$C$68)^E71</f>
        <v>48717.137359637913</v>
      </c>
      <c r="F73" s="432">
        <f ca="1">F16/(1+$C$68)^F71</f>
        <v>49157.472535557841</v>
      </c>
      <c r="G73" s="432">
        <f ca="1">G16/(1+$C$68)^G71</f>
        <v>44943.806180577601</v>
      </c>
      <c r="H73" s="432">
        <f ca="1">H16/(1+$C$68)^H71</f>
        <v>45296.155365316408</v>
      </c>
      <c r="L73" s="7"/>
      <c r="M73" s="7"/>
      <c r="N73" s="7"/>
      <c r="O73" s="7"/>
      <c r="P73" s="7"/>
      <c r="Q73" s="7"/>
      <c r="R73" s="7"/>
      <c r="S73" s="7"/>
      <c r="T73" s="7"/>
      <c r="U73" s="7"/>
      <c r="V73" s="7"/>
      <c r="W73" s="7"/>
      <c r="X73" s="7"/>
      <c r="Y73" s="7"/>
    </row>
    <row r="74" spans="1:25" ht="15.75" customHeight="1">
      <c r="A74" s="7"/>
      <c r="B74" s="7"/>
      <c r="C74" s="29"/>
      <c r="D74" s="7"/>
      <c r="E74" s="7"/>
      <c r="F74" s="7"/>
      <c r="G74" s="7"/>
      <c r="H74" s="7"/>
      <c r="I74" s="7"/>
      <c r="J74" s="7"/>
      <c r="K74" s="7"/>
      <c r="L74" s="7"/>
      <c r="M74" s="7"/>
      <c r="N74" s="7"/>
      <c r="O74" s="7"/>
      <c r="P74" s="7"/>
      <c r="Q74" s="7"/>
      <c r="R74" s="7"/>
      <c r="S74" s="7"/>
      <c r="T74" s="7"/>
      <c r="U74" s="7"/>
      <c r="V74" s="7"/>
      <c r="W74" s="7"/>
      <c r="X74" s="7"/>
      <c r="Y74" s="7"/>
    </row>
    <row r="75" spans="1:25" ht="15" customHeight="1">
      <c r="A75" s="416"/>
      <c r="B75" s="416"/>
      <c r="C75" s="431"/>
      <c r="D75" s="416"/>
      <c r="E75" s="416"/>
      <c r="F75" s="433" t="s">
        <v>465</v>
      </c>
      <c r="G75" s="707" t="s">
        <v>745</v>
      </c>
      <c r="H75" s="707" t="s">
        <v>447</v>
      </c>
      <c r="I75" s="707" t="s">
        <v>744</v>
      </c>
      <c r="T75" s="7"/>
      <c r="U75" s="7"/>
      <c r="V75" s="7"/>
      <c r="W75" s="7"/>
      <c r="X75" s="7"/>
      <c r="Y75" s="7"/>
    </row>
    <row r="76" spans="1:25" ht="15.75" customHeight="1">
      <c r="A76" s="416"/>
      <c r="B76" s="416" t="s">
        <v>466</v>
      </c>
      <c r="C76" s="434" t="s">
        <v>51</v>
      </c>
      <c r="D76" s="434" t="s">
        <v>467</v>
      </c>
      <c r="E76" s="434"/>
      <c r="F76" s="433" t="s">
        <v>447</v>
      </c>
      <c r="G76" s="435">
        <v>1.4999999999999999E-2</v>
      </c>
      <c r="H76" s="435">
        <v>0.02</v>
      </c>
      <c r="I76" s="435">
        <v>2.5000000000000001E-2</v>
      </c>
      <c r="T76" s="7"/>
      <c r="U76" s="7"/>
      <c r="V76" s="7"/>
      <c r="W76" s="7"/>
      <c r="X76" s="7"/>
      <c r="Y76" s="7"/>
    </row>
    <row r="77" spans="1:25" ht="15.75" customHeight="1">
      <c r="A77" s="7"/>
      <c r="B77" s="7"/>
      <c r="C77" s="29"/>
      <c r="D77" s="30"/>
      <c r="E77" s="30"/>
      <c r="F77" s="7"/>
      <c r="G77" s="7"/>
      <c r="H77" s="7"/>
      <c r="I77" s="7"/>
      <c r="J77" s="7"/>
      <c r="K77" s="7"/>
      <c r="L77" s="7"/>
      <c r="M77" s="4"/>
      <c r="P77" s="7"/>
      <c r="Q77" s="7"/>
      <c r="R77" s="7"/>
      <c r="S77" s="7"/>
      <c r="T77" s="7"/>
      <c r="U77" s="7"/>
      <c r="V77" s="7"/>
      <c r="W77" s="7"/>
      <c r="X77" s="7"/>
      <c r="Y77" s="7"/>
    </row>
    <row r="78" spans="1:25" ht="15.75" customHeight="1">
      <c r="A78" s="7"/>
      <c r="B78" s="436" t="s">
        <v>468</v>
      </c>
      <c r="C78" s="255" t="s">
        <v>55</v>
      </c>
      <c r="D78" s="437">
        <f>D79+1.5%</f>
        <v>3.5000000000000003E-2</v>
      </c>
      <c r="E78" s="588" t="s">
        <v>469</v>
      </c>
      <c r="F78" s="571"/>
      <c r="G78" s="571"/>
      <c r="H78" s="571"/>
      <c r="I78" s="572"/>
      <c r="J78" s="590" t="s">
        <v>470</v>
      </c>
      <c r="K78" s="587"/>
      <c r="L78" s="587"/>
      <c r="M78" s="587"/>
      <c r="N78" s="587"/>
      <c r="O78" s="587"/>
      <c r="P78" s="587"/>
      <c r="S78" s="4"/>
      <c r="T78" s="7"/>
      <c r="U78" s="7"/>
      <c r="V78" s="7"/>
      <c r="W78" s="7"/>
      <c r="X78" s="7"/>
      <c r="Y78" s="7"/>
    </row>
    <row r="79" spans="1:25" ht="15.75" customHeight="1">
      <c r="A79" s="7"/>
      <c r="B79" s="417" t="s">
        <v>471</v>
      </c>
      <c r="C79" s="29" t="s">
        <v>55</v>
      </c>
      <c r="D79" s="61">
        <v>0.02</v>
      </c>
      <c r="E79" s="594" t="s">
        <v>472</v>
      </c>
      <c r="F79" s="578"/>
      <c r="G79" s="578"/>
      <c r="H79" s="578"/>
      <c r="I79" s="579"/>
      <c r="J79" s="586"/>
      <c r="K79" s="587"/>
      <c r="L79" s="587"/>
      <c r="M79" s="587"/>
      <c r="N79" s="587"/>
      <c r="O79" s="587"/>
      <c r="P79" s="587"/>
      <c r="S79" s="4"/>
      <c r="T79" s="7"/>
      <c r="U79" s="7"/>
      <c r="V79" s="7"/>
      <c r="W79" s="7"/>
      <c r="X79" s="7"/>
      <c r="Y79" s="7"/>
    </row>
    <row r="80" spans="1:25" ht="15.75" customHeight="1">
      <c r="A80" s="7"/>
      <c r="B80" s="90" t="s">
        <v>42</v>
      </c>
      <c r="C80" s="46" t="s">
        <v>55</v>
      </c>
      <c r="D80" s="438">
        <f>_xlfn.XLOOKUP(F76,G75:I75,G76:I76)</f>
        <v>0.02</v>
      </c>
      <c r="E80" s="439" t="s">
        <v>473</v>
      </c>
      <c r="F80" s="440"/>
      <c r="G80" s="440"/>
      <c r="H80" s="440"/>
      <c r="I80" s="441"/>
      <c r="J80" s="586"/>
      <c r="K80" s="587"/>
      <c r="L80" s="587"/>
      <c r="M80" s="587"/>
      <c r="N80" s="587"/>
      <c r="O80" s="587"/>
      <c r="P80" s="587"/>
      <c r="S80" s="7"/>
      <c r="T80" s="7"/>
      <c r="U80" s="7"/>
      <c r="V80" s="7"/>
      <c r="W80" s="7"/>
      <c r="X80" s="7"/>
      <c r="Y80" s="7"/>
    </row>
    <row r="81" spans="1:25" ht="15.75" customHeight="1">
      <c r="A81" s="7"/>
      <c r="B81" s="442" t="s">
        <v>474</v>
      </c>
      <c r="C81" s="29" t="s">
        <v>53</v>
      </c>
      <c r="D81" s="20">
        <f ca="1">H16*(1+D80)/(C68-D80)</f>
        <v>862569.59427277523</v>
      </c>
      <c r="E81" s="443"/>
      <c r="F81" s="7"/>
      <c r="G81" s="7"/>
      <c r="H81" s="133"/>
      <c r="I81" s="444"/>
      <c r="J81" s="527"/>
      <c r="K81" s="527"/>
      <c r="L81" s="527"/>
      <c r="M81" s="527"/>
      <c r="N81" s="527"/>
      <c r="O81" s="527"/>
      <c r="P81" s="527"/>
      <c r="S81" s="7"/>
      <c r="T81" s="7"/>
      <c r="U81" s="7"/>
      <c r="V81" s="7"/>
      <c r="W81" s="7"/>
      <c r="X81" s="7"/>
      <c r="Y81" s="7"/>
    </row>
    <row r="82" spans="1:25" ht="15.75" customHeight="1">
      <c r="A82" s="7"/>
      <c r="B82" s="445" t="s">
        <v>475</v>
      </c>
      <c r="C82" s="217" t="s">
        <v>276</v>
      </c>
      <c r="D82" s="446">
        <f ca="1">D81/'Income Statement'!M33</f>
        <v>7.896450834226922</v>
      </c>
      <c r="E82" s="447"/>
      <c r="F82" s="237"/>
      <c r="G82" s="237"/>
      <c r="H82" s="237"/>
      <c r="I82" s="237"/>
      <c r="J82" s="589" t="s">
        <v>476</v>
      </c>
      <c r="K82" s="587"/>
      <c r="L82" s="587"/>
      <c r="M82" s="587"/>
      <c r="N82" s="587"/>
      <c r="O82" s="587"/>
      <c r="P82" s="587"/>
      <c r="S82" s="7"/>
      <c r="T82" s="7"/>
      <c r="U82" s="7"/>
      <c r="V82" s="7"/>
      <c r="W82" s="7"/>
      <c r="X82" s="7"/>
      <c r="Y82" s="7"/>
    </row>
    <row r="83" spans="1:25" ht="15.75" customHeight="1">
      <c r="A83" s="448"/>
      <c r="B83" s="449" t="s">
        <v>477</v>
      </c>
      <c r="C83" s="450" t="s">
        <v>53</v>
      </c>
      <c r="D83" s="451">
        <f ca="1">D81/(1+C68)^H71</f>
        <v>510894.01565502805</v>
      </c>
      <c r="E83" s="452"/>
      <c r="F83" s="453"/>
      <c r="G83" s="451"/>
      <c r="H83" s="451"/>
      <c r="I83" s="451"/>
      <c r="J83" s="586"/>
      <c r="K83" s="587"/>
      <c r="L83" s="587"/>
      <c r="M83" s="587"/>
      <c r="N83" s="587"/>
      <c r="O83" s="587"/>
      <c r="P83" s="587"/>
      <c r="S83" s="7"/>
      <c r="T83" s="7"/>
      <c r="U83" s="7"/>
      <c r="V83" s="7"/>
      <c r="W83" s="7"/>
      <c r="X83" s="7"/>
      <c r="Y83" s="7"/>
    </row>
    <row r="84" spans="1:25" ht="15.75" customHeight="1">
      <c r="A84" s="7"/>
      <c r="B84" s="7"/>
      <c r="C84" s="29"/>
      <c r="D84" s="7"/>
      <c r="E84" s="7"/>
      <c r="F84" s="7"/>
      <c r="G84" s="7"/>
      <c r="H84" s="7"/>
      <c r="I84" s="7"/>
      <c r="J84" s="7"/>
      <c r="K84" s="7"/>
      <c r="L84" s="7"/>
      <c r="M84" s="7"/>
      <c r="N84" s="7"/>
      <c r="O84" s="7"/>
      <c r="P84" s="7"/>
      <c r="Q84" s="7"/>
      <c r="R84" s="7"/>
      <c r="S84" s="7"/>
      <c r="T84" s="7"/>
      <c r="U84" s="7"/>
      <c r="V84" s="7"/>
      <c r="W84" s="7"/>
      <c r="X84" s="7"/>
      <c r="Y84" s="7"/>
    </row>
    <row r="85" spans="1:25" ht="15.75" customHeight="1">
      <c r="A85" s="7"/>
      <c r="B85" s="595" t="s">
        <v>728</v>
      </c>
      <c r="C85" s="596"/>
      <c r="D85" s="597"/>
      <c r="E85" s="5"/>
      <c r="F85" s="7"/>
      <c r="G85" s="7"/>
      <c r="H85" s="7"/>
      <c r="I85" s="7"/>
      <c r="J85" s="7"/>
      <c r="K85" s="7"/>
      <c r="L85" s="7"/>
      <c r="M85" s="7"/>
      <c r="N85" s="7"/>
      <c r="P85" s="7"/>
      <c r="Q85" s="7"/>
      <c r="R85" s="7"/>
      <c r="S85" s="7"/>
      <c r="T85" s="7"/>
      <c r="U85" s="7"/>
      <c r="V85" s="7"/>
      <c r="W85" s="7"/>
      <c r="X85" s="7"/>
      <c r="Y85" s="7"/>
    </row>
    <row r="86" spans="1:25" ht="15.75" customHeight="1">
      <c r="A86" s="7"/>
      <c r="B86" s="142" t="s">
        <v>478</v>
      </c>
      <c r="C86" s="454" t="s">
        <v>53</v>
      </c>
      <c r="D86" s="312">
        <f ca="1">SUM(D73:H73)+D83</f>
        <v>754814.50400281302</v>
      </c>
      <c r="E86" s="7"/>
      <c r="F86" s="568"/>
      <c r="G86" s="568"/>
      <c r="H86" s="688"/>
      <c r="I86" s="568"/>
      <c r="J86" s="568"/>
      <c r="K86" s="568"/>
      <c r="L86" s="7"/>
      <c r="M86" s="7"/>
      <c r="N86" s="7"/>
      <c r="O86" s="7"/>
      <c r="P86" s="7"/>
      <c r="Q86" s="7"/>
      <c r="R86" s="7"/>
      <c r="S86" s="7"/>
      <c r="T86" s="7"/>
      <c r="U86" s="7"/>
      <c r="V86" s="7"/>
      <c r="W86" s="7"/>
      <c r="X86" s="7"/>
      <c r="Y86" s="7"/>
    </row>
    <row r="87" spans="1:25" ht="15.75" customHeight="1">
      <c r="A87" s="7"/>
      <c r="B87" s="44"/>
      <c r="C87" s="29"/>
      <c r="D87" s="341"/>
      <c r="F87" s="568"/>
      <c r="G87" s="568"/>
      <c r="H87" s="568"/>
      <c r="I87" s="568"/>
      <c r="J87" s="568"/>
      <c r="K87" s="568"/>
      <c r="P87" s="7"/>
      <c r="Q87" s="7"/>
      <c r="R87" s="7"/>
      <c r="S87" s="7"/>
      <c r="T87" s="7"/>
      <c r="U87" s="7"/>
      <c r="V87" s="7"/>
      <c r="W87" s="7"/>
      <c r="X87" s="7"/>
      <c r="Y87" s="7"/>
    </row>
    <row r="88" spans="1:25" ht="15.75" customHeight="1">
      <c r="A88" s="7"/>
      <c r="B88" s="88" t="s">
        <v>479</v>
      </c>
      <c r="C88" s="55" t="s">
        <v>53</v>
      </c>
      <c r="D88" s="95">
        <f>-SUM(D89:D92)</f>
        <v>-508330.321</v>
      </c>
      <c r="E88" s="7"/>
      <c r="F88" s="568"/>
      <c r="G88" s="568"/>
      <c r="H88" s="568"/>
      <c r="I88" s="568"/>
      <c r="J88" s="568"/>
      <c r="K88" s="568"/>
      <c r="P88" s="7"/>
      <c r="Q88" s="7"/>
      <c r="R88" s="7"/>
      <c r="S88" s="7"/>
      <c r="T88" s="7"/>
      <c r="U88" s="7"/>
      <c r="V88" s="7"/>
      <c r="W88" s="7"/>
      <c r="X88" s="7"/>
      <c r="Y88" s="7"/>
    </row>
    <row r="89" spans="1:25" ht="15.75" customHeight="1">
      <c r="A89" s="7"/>
      <c r="B89" s="147" t="s">
        <v>480</v>
      </c>
      <c r="C89" s="29" t="s">
        <v>53</v>
      </c>
      <c r="D89" s="148">
        <f>'Balance Sheet'!H32+'Balance Sheet'!H41</f>
        <v>42317.561999999998</v>
      </c>
      <c r="E89" s="358"/>
      <c r="F89" s="568"/>
      <c r="G89" s="568"/>
      <c r="H89" s="568"/>
      <c r="I89" s="568"/>
      <c r="J89" s="568"/>
      <c r="K89" s="568"/>
      <c r="S89" s="7"/>
      <c r="T89" s="7"/>
      <c r="U89" s="7"/>
      <c r="V89" s="7"/>
      <c r="W89" s="7"/>
      <c r="X89" s="7"/>
      <c r="Y89" s="7"/>
    </row>
    <row r="90" spans="1:25" ht="15.75" customHeight="1">
      <c r="A90" s="7"/>
      <c r="B90" s="147" t="s">
        <v>481</v>
      </c>
      <c r="C90" s="29" t="s">
        <v>53</v>
      </c>
      <c r="D90" s="148">
        <f>'Balance Sheet'!H34+'Balance Sheet'!H43</f>
        <v>334588.90000000002</v>
      </c>
      <c r="F90" s="568"/>
      <c r="G90" s="568"/>
      <c r="H90" s="568"/>
      <c r="I90" s="568"/>
      <c r="J90" s="568"/>
      <c r="K90" s="568"/>
      <c r="P90" s="7"/>
      <c r="Q90" s="7"/>
      <c r="S90" s="7"/>
      <c r="T90" s="7"/>
      <c r="U90" s="7"/>
      <c r="V90" s="7"/>
      <c r="W90" s="7"/>
      <c r="X90" s="7"/>
      <c r="Y90" s="7"/>
    </row>
    <row r="91" spans="1:25" ht="15.75" customHeight="1">
      <c r="A91" s="7"/>
      <c r="B91" s="147" t="s">
        <v>482</v>
      </c>
      <c r="C91" s="29" t="s">
        <v>53</v>
      </c>
      <c r="D91" s="148">
        <f>'Balance Sheet'!H31+'Balance Sheet'!H40</f>
        <v>54820.654999999999</v>
      </c>
      <c r="F91" s="568"/>
      <c r="G91" s="568"/>
      <c r="H91" s="568"/>
      <c r="I91" s="568"/>
      <c r="J91" s="568"/>
      <c r="K91" s="568"/>
      <c r="P91" s="7"/>
      <c r="Q91" s="7"/>
      <c r="S91" s="7"/>
      <c r="T91" s="7"/>
      <c r="U91" s="7"/>
      <c r="V91" s="7"/>
      <c r="W91" s="7"/>
      <c r="X91" s="7"/>
      <c r="Y91" s="7"/>
    </row>
    <row r="92" spans="1:25" ht="15.75" customHeight="1">
      <c r="A92" s="7"/>
      <c r="B92" s="147" t="s">
        <v>269</v>
      </c>
      <c r="C92" s="29" t="s">
        <v>53</v>
      </c>
      <c r="D92" s="569">
        <f>-'Balance Sheet'!H52</f>
        <v>76603.203999999998</v>
      </c>
      <c r="F92" s="568"/>
      <c r="G92" s="568"/>
      <c r="H92" s="568"/>
      <c r="I92" s="568"/>
      <c r="J92" s="568"/>
      <c r="K92" s="568"/>
      <c r="P92" s="7"/>
      <c r="Q92" s="7"/>
      <c r="S92" s="7"/>
      <c r="T92" s="7"/>
      <c r="U92" s="7"/>
      <c r="V92" s="7"/>
      <c r="W92" s="7"/>
      <c r="X92" s="7"/>
      <c r="Y92" s="7"/>
    </row>
    <row r="93" spans="1:25" ht="15.75" customHeight="1">
      <c r="A93" s="7"/>
      <c r="B93" s="44"/>
      <c r="C93" s="29"/>
      <c r="D93" s="89"/>
      <c r="E93" s="7"/>
      <c r="F93" s="568"/>
      <c r="G93" s="568"/>
      <c r="H93" s="568"/>
      <c r="I93" s="568"/>
      <c r="J93" s="568"/>
      <c r="K93" s="568"/>
      <c r="P93" s="5"/>
      <c r="Q93" s="7"/>
      <c r="S93" s="7"/>
      <c r="T93" s="7"/>
      <c r="U93" s="7"/>
      <c r="V93" s="7"/>
      <c r="W93" s="7"/>
      <c r="X93" s="7"/>
      <c r="Y93" s="7"/>
    </row>
    <row r="94" spans="1:25" ht="15.75" customHeight="1">
      <c r="A94" s="7"/>
      <c r="B94" s="88" t="s">
        <v>483</v>
      </c>
      <c r="C94" s="55" t="s">
        <v>53</v>
      </c>
      <c r="D94" s="95">
        <f>SUM(D95:D97)</f>
        <v>119411.27099999995</v>
      </c>
      <c r="E94" s="7"/>
      <c r="F94" s="568"/>
      <c r="G94" s="568"/>
      <c r="H94" s="568"/>
      <c r="I94" s="568"/>
      <c r="J94" s="568"/>
      <c r="K94" s="568"/>
      <c r="P94" s="5"/>
      <c r="S94" s="7"/>
      <c r="T94" s="7"/>
      <c r="U94" s="7"/>
      <c r="V94" s="7"/>
      <c r="W94" s="7"/>
      <c r="X94" s="7"/>
      <c r="Y94" s="7"/>
    </row>
    <row r="95" spans="1:25" ht="15.75" customHeight="1">
      <c r="A95" s="7"/>
      <c r="B95" s="147" t="s">
        <v>339</v>
      </c>
      <c r="C95" s="29" t="s">
        <v>53</v>
      </c>
      <c r="D95" s="148">
        <f>'Balance Sheet'!H7</f>
        <v>69089.142999999953</v>
      </c>
      <c r="E95" s="358"/>
      <c r="F95" s="568"/>
      <c r="G95" s="568"/>
      <c r="H95" s="568"/>
      <c r="I95" s="568"/>
      <c r="J95" s="568"/>
      <c r="K95" s="568"/>
      <c r="P95" s="5"/>
      <c r="Q95" s="7"/>
      <c r="S95" s="7"/>
      <c r="T95" s="7"/>
      <c r="U95" s="7"/>
      <c r="V95" s="7"/>
      <c r="W95" s="7"/>
      <c r="X95" s="7"/>
      <c r="Y95" s="7"/>
    </row>
    <row r="96" spans="1:25" ht="15.75" customHeight="1">
      <c r="A96" s="7"/>
      <c r="B96" s="147" t="s">
        <v>241</v>
      </c>
      <c r="C96" s="29" t="s">
        <v>53</v>
      </c>
      <c r="D96" s="148">
        <f>'Balance Sheet'!H8</f>
        <v>1215.039</v>
      </c>
      <c r="F96" s="568"/>
      <c r="G96" s="568"/>
      <c r="H96" s="568"/>
      <c r="I96" s="568"/>
      <c r="J96" s="568"/>
      <c r="K96" s="568"/>
      <c r="P96" s="7"/>
      <c r="Q96" s="7"/>
      <c r="S96" s="7"/>
      <c r="T96" s="7"/>
      <c r="U96" s="7"/>
      <c r="V96" s="7"/>
      <c r="W96" s="7"/>
      <c r="X96" s="7"/>
      <c r="Y96" s="7"/>
    </row>
    <row r="97" spans="1:25" ht="15.75" customHeight="1">
      <c r="A97" s="7"/>
      <c r="B97" s="147" t="s">
        <v>242</v>
      </c>
      <c r="C97" s="29" t="s">
        <v>53</v>
      </c>
      <c r="D97" s="148">
        <f>'Balance Sheet'!H9</f>
        <v>49107.089</v>
      </c>
      <c r="F97" s="568"/>
      <c r="G97" s="568"/>
      <c r="H97" s="568"/>
      <c r="I97" s="568"/>
      <c r="J97" s="568"/>
      <c r="K97" s="568"/>
      <c r="P97" s="7"/>
      <c r="Q97" s="7"/>
      <c r="S97" s="7"/>
      <c r="T97" s="7"/>
      <c r="U97" s="7"/>
      <c r="V97" s="7"/>
      <c r="W97" s="7"/>
      <c r="X97" s="7"/>
      <c r="Y97" s="7"/>
    </row>
    <row r="98" spans="1:25" ht="15.75" customHeight="1">
      <c r="A98" s="7"/>
      <c r="B98" s="44"/>
      <c r="C98" s="29"/>
      <c r="D98" s="341"/>
      <c r="E98" s="7"/>
      <c r="F98" s="568"/>
      <c r="G98" s="568"/>
      <c r="H98" s="568"/>
      <c r="I98" s="568"/>
      <c r="J98" s="568"/>
      <c r="K98" s="568"/>
      <c r="L98" s="456"/>
      <c r="P98" s="7"/>
      <c r="Q98" s="7"/>
      <c r="R98" s="7"/>
      <c r="S98" s="7"/>
      <c r="T98" s="7"/>
      <c r="U98" s="7"/>
      <c r="V98" s="7"/>
      <c r="W98" s="7"/>
      <c r="X98" s="7"/>
      <c r="Y98" s="7"/>
    </row>
    <row r="99" spans="1:25" ht="15.75" customHeight="1">
      <c r="A99" s="7"/>
      <c r="B99" s="88" t="s">
        <v>484</v>
      </c>
      <c r="C99" s="55" t="s">
        <v>53</v>
      </c>
      <c r="D99" s="95">
        <f ca="1">SUM(D86,D88,D94)</f>
        <v>365895.45400281297</v>
      </c>
      <c r="E99" s="7"/>
      <c r="F99" s="568"/>
      <c r="G99" s="568"/>
      <c r="H99" s="568"/>
      <c r="I99" s="568"/>
      <c r="J99" s="568"/>
      <c r="K99" s="568"/>
      <c r="L99" s="456"/>
      <c r="P99" s="7"/>
      <c r="Q99" s="7"/>
      <c r="R99" s="7"/>
      <c r="S99" s="7"/>
      <c r="T99" s="7"/>
      <c r="U99" s="7"/>
      <c r="V99" s="7"/>
      <c r="W99" s="7"/>
      <c r="X99" s="7"/>
      <c r="Y99" s="7"/>
    </row>
    <row r="100" spans="1:25" ht="15.75" customHeight="1">
      <c r="A100" s="7"/>
      <c r="B100" s="88" t="s">
        <v>11</v>
      </c>
      <c r="C100" s="55" t="s">
        <v>53</v>
      </c>
      <c r="D100" s="95">
        <f>'Income Statement'!H52</f>
        <v>43401.239000000001</v>
      </c>
      <c r="E100" s="7"/>
      <c r="F100" s="568"/>
      <c r="G100" s="568"/>
      <c r="H100" s="568"/>
      <c r="I100" s="568"/>
      <c r="J100" s="568"/>
      <c r="K100" s="568"/>
      <c r="L100" s="456"/>
      <c r="P100" s="7"/>
      <c r="Q100" s="7"/>
      <c r="R100" s="7"/>
      <c r="S100" s="7"/>
      <c r="T100" s="7"/>
      <c r="U100" s="7"/>
      <c r="V100" s="7"/>
      <c r="W100" s="7"/>
      <c r="X100" s="7"/>
      <c r="Y100" s="7"/>
    </row>
    <row r="101" spans="1:25" ht="15.75" customHeight="1">
      <c r="A101" s="7"/>
      <c r="B101" s="112"/>
      <c r="C101" s="4"/>
      <c r="D101" s="339"/>
      <c r="E101" s="7"/>
      <c r="F101" s="568"/>
      <c r="G101" s="568"/>
      <c r="H101" s="568"/>
      <c r="I101" s="568"/>
      <c r="J101" s="568"/>
      <c r="K101" s="568"/>
      <c r="L101" s="456"/>
      <c r="P101" s="7"/>
      <c r="Q101" s="7"/>
      <c r="R101" s="7"/>
      <c r="S101" s="7"/>
      <c r="T101" s="7"/>
      <c r="U101" s="7"/>
      <c r="V101" s="7"/>
      <c r="W101" s="7"/>
      <c r="X101" s="7"/>
      <c r="Y101" s="7"/>
    </row>
    <row r="102" spans="1:25" ht="15.75" customHeight="1">
      <c r="A102" s="7"/>
      <c r="B102" s="88" t="s">
        <v>6</v>
      </c>
      <c r="C102" s="55" t="s">
        <v>229</v>
      </c>
      <c r="D102" s="457">
        <f ca="1">D99/D100</f>
        <v>8.4305301515197062</v>
      </c>
      <c r="E102" s="7"/>
      <c r="F102" s="568"/>
      <c r="G102" s="568"/>
      <c r="H102" s="568"/>
      <c r="I102" s="568"/>
      <c r="J102" s="568"/>
      <c r="K102" s="568"/>
      <c r="L102" s="456"/>
      <c r="P102" s="7"/>
      <c r="Q102" s="7"/>
      <c r="R102" s="7"/>
      <c r="S102" s="7"/>
      <c r="T102" s="7"/>
      <c r="U102" s="7"/>
      <c r="V102" s="7"/>
      <c r="W102" s="7"/>
      <c r="X102" s="7"/>
      <c r="Y102" s="7"/>
    </row>
    <row r="103" spans="1:25" ht="15.75" customHeight="1">
      <c r="A103" s="7"/>
      <c r="B103" s="445" t="s">
        <v>8</v>
      </c>
      <c r="C103" s="217" t="s">
        <v>55</v>
      </c>
      <c r="D103" s="458">
        <f ca="1">(D102/C58)-1</f>
        <v>1.2302989818835202</v>
      </c>
      <c r="E103" s="7"/>
      <c r="F103" s="568"/>
      <c r="G103" s="568"/>
      <c r="H103" s="568"/>
      <c r="I103" s="568"/>
      <c r="J103" s="568"/>
      <c r="K103" s="568"/>
      <c r="L103" s="456"/>
      <c r="P103" s="7"/>
      <c r="Q103" s="7"/>
      <c r="R103" s="7"/>
      <c r="S103" s="7"/>
      <c r="T103" s="7"/>
      <c r="U103" s="7"/>
      <c r="V103" s="7"/>
      <c r="W103" s="7"/>
      <c r="X103" s="7"/>
      <c r="Y103" s="7"/>
    </row>
    <row r="104" spans="1:25" ht="15.75" customHeight="1">
      <c r="A104" s="7"/>
      <c r="B104" s="7"/>
      <c r="C104" s="29"/>
      <c r="D104" s="7"/>
      <c r="E104" s="7"/>
      <c r="F104" s="7"/>
      <c r="G104" s="7"/>
      <c r="H104" s="7"/>
      <c r="P104" s="7"/>
      <c r="Q104" s="7"/>
      <c r="R104" s="7"/>
      <c r="S104" s="7"/>
      <c r="T104" s="7"/>
      <c r="U104" s="7"/>
      <c r="V104" s="7"/>
      <c r="W104" s="7"/>
      <c r="X104" s="7"/>
      <c r="Y104" s="7"/>
    </row>
    <row r="105" spans="1:25" ht="15.75" customHeight="1">
      <c r="A105" s="570" t="s">
        <v>485</v>
      </c>
      <c r="B105" s="571"/>
      <c r="C105" s="571"/>
      <c r="D105" s="571"/>
      <c r="E105" s="571"/>
      <c r="F105" s="571"/>
      <c r="G105" s="571"/>
      <c r="H105" s="571"/>
      <c r="I105" s="572"/>
      <c r="J105" s="71"/>
      <c r="K105" s="71"/>
      <c r="L105" s="4"/>
      <c r="M105" s="4"/>
      <c r="N105" s="4"/>
      <c r="O105" s="4"/>
      <c r="P105" s="4"/>
      <c r="Q105" s="4"/>
      <c r="R105" s="4"/>
      <c r="S105" s="4"/>
      <c r="T105" s="4"/>
      <c r="U105" s="4"/>
      <c r="V105" s="4"/>
      <c r="W105" s="4"/>
      <c r="X105" s="4"/>
      <c r="Y105" s="4"/>
    </row>
    <row r="106" spans="1:25" ht="15" customHeight="1">
      <c r="A106" s="573"/>
      <c r="B106" s="574"/>
      <c r="C106" s="574"/>
      <c r="D106" s="574"/>
      <c r="E106" s="574"/>
      <c r="F106" s="574"/>
      <c r="G106" s="574"/>
      <c r="H106" s="574"/>
      <c r="I106" s="575"/>
      <c r="J106" s="71"/>
      <c r="K106" s="71"/>
      <c r="L106" s="4"/>
      <c r="M106" s="4"/>
      <c r="N106" s="4"/>
      <c r="O106" s="4"/>
      <c r="P106" s="4"/>
      <c r="Q106" s="4"/>
      <c r="R106" s="4"/>
      <c r="S106" s="4"/>
      <c r="T106" s="4"/>
      <c r="U106" s="4"/>
      <c r="V106" s="4"/>
      <c r="W106" s="4"/>
      <c r="X106" s="4"/>
      <c r="Y106" s="4"/>
    </row>
    <row r="107" spans="1:25" ht="27.6">
      <c r="A107" s="459"/>
      <c r="B107" s="143"/>
      <c r="C107" s="143"/>
      <c r="D107" s="460" t="s">
        <v>486</v>
      </c>
      <c r="E107" s="461" t="s">
        <v>487</v>
      </c>
      <c r="F107" s="528" t="s">
        <v>445</v>
      </c>
      <c r="G107" s="462"/>
      <c r="H107" s="462"/>
      <c r="I107" s="463"/>
      <c r="J107" s="71"/>
      <c r="K107" s="71"/>
      <c r="L107" s="4"/>
      <c r="M107" s="4"/>
      <c r="N107" s="4"/>
      <c r="O107" s="4"/>
      <c r="P107" s="4"/>
      <c r="Q107" s="4"/>
      <c r="R107" s="4"/>
      <c r="S107" s="4"/>
      <c r="T107" s="4"/>
      <c r="U107" s="4"/>
      <c r="V107" s="4"/>
      <c r="W107" s="4"/>
      <c r="X107" s="4"/>
      <c r="Y107" s="4"/>
    </row>
    <row r="108" spans="1:25" ht="15" customHeight="1">
      <c r="A108" s="112"/>
      <c r="B108" s="358" t="s">
        <v>488</v>
      </c>
      <c r="C108" s="464"/>
      <c r="D108" s="465">
        <f ca="1">$D$37</f>
        <v>4.6580000000000003E-2</v>
      </c>
      <c r="E108" s="466">
        <v>5.4239999999999997E-2</v>
      </c>
      <c r="F108" s="529" t="s">
        <v>489</v>
      </c>
      <c r="G108" s="468"/>
      <c r="H108" s="464"/>
      <c r="I108" s="469"/>
      <c r="J108" s="71"/>
      <c r="K108" s="71"/>
      <c r="L108" s="4"/>
      <c r="M108" s="4"/>
      <c r="N108" s="4"/>
      <c r="O108" s="4"/>
      <c r="P108" s="4"/>
      <c r="Q108" s="4"/>
      <c r="R108" s="4"/>
      <c r="S108" s="4"/>
      <c r="T108" s="4"/>
      <c r="U108" s="4"/>
      <c r="V108" s="4"/>
      <c r="W108" s="4"/>
      <c r="X108" s="4"/>
      <c r="Y108" s="4"/>
    </row>
    <row r="109" spans="1:25" ht="15" customHeight="1">
      <c r="A109" s="112"/>
      <c r="B109" s="358" t="s">
        <v>449</v>
      </c>
      <c r="C109" s="464"/>
      <c r="D109" s="465">
        <f t="shared" ref="D109:E109" si="3">$D$38</f>
        <v>4.1700000000000001E-2</v>
      </c>
      <c r="E109" s="470">
        <f t="shared" si="3"/>
        <v>4.1700000000000001E-2</v>
      </c>
      <c r="F109" s="464"/>
      <c r="G109" s="464"/>
      <c r="H109" s="464"/>
      <c r="I109" s="469"/>
      <c r="J109" s="71"/>
      <c r="K109" s="71"/>
      <c r="L109" s="4"/>
      <c r="M109" s="4"/>
      <c r="N109" s="4"/>
      <c r="O109" s="4"/>
      <c r="P109" s="4"/>
      <c r="Q109" s="4"/>
      <c r="R109" s="4"/>
      <c r="S109" s="4"/>
      <c r="T109" s="4"/>
      <c r="U109" s="4"/>
      <c r="V109" s="4"/>
      <c r="W109" s="4"/>
      <c r="X109" s="4"/>
      <c r="Y109" s="4"/>
    </row>
    <row r="110" spans="1:25" ht="15.75" customHeight="1">
      <c r="A110" s="112"/>
      <c r="B110" s="358" t="s">
        <v>450</v>
      </c>
      <c r="C110" s="464"/>
      <c r="D110" s="465">
        <f>$D$39</f>
        <v>5.1299999999999998E-2</v>
      </c>
      <c r="E110" s="466">
        <v>0</v>
      </c>
      <c r="F110" s="464"/>
      <c r="G110" s="464"/>
      <c r="H110" s="464"/>
      <c r="I110" s="469"/>
      <c r="J110" s="71"/>
      <c r="K110" s="71"/>
      <c r="L110" s="4"/>
      <c r="M110" s="4"/>
      <c r="N110" s="4"/>
      <c r="O110" s="4"/>
      <c r="P110" s="4"/>
      <c r="Q110" s="4"/>
      <c r="R110" s="4"/>
      <c r="S110" s="4"/>
      <c r="T110" s="4"/>
      <c r="U110" s="4"/>
      <c r="V110" s="4"/>
      <c r="W110" s="4"/>
      <c r="X110" s="4"/>
      <c r="Y110" s="4"/>
    </row>
    <row r="111" spans="1:25" ht="15.75" customHeight="1">
      <c r="A111" s="112"/>
      <c r="B111" s="358" t="s">
        <v>451</v>
      </c>
      <c r="C111" s="464"/>
      <c r="D111" s="471">
        <f>$D$40</f>
        <v>2.0699965351000147</v>
      </c>
      <c r="E111" s="668">
        <f>$D$40</f>
        <v>2.0699965351000147</v>
      </c>
      <c r="F111" s="464"/>
      <c r="G111" s="464"/>
      <c r="H111" s="464"/>
      <c r="I111" s="469"/>
      <c r="J111" s="4"/>
      <c r="K111" s="4"/>
      <c r="L111" s="4"/>
      <c r="M111" s="4"/>
      <c r="N111" s="4"/>
      <c r="O111" s="4"/>
      <c r="P111" s="4"/>
      <c r="Q111" s="4"/>
      <c r="R111" s="4"/>
      <c r="S111" s="4"/>
      <c r="T111" s="4"/>
      <c r="U111" s="4"/>
      <c r="V111" s="4"/>
      <c r="W111" s="4"/>
      <c r="X111" s="4"/>
      <c r="Y111" s="4"/>
    </row>
    <row r="112" spans="1:25" ht="15.75" customHeight="1">
      <c r="A112" s="666"/>
      <c r="B112" s="358"/>
      <c r="C112" s="464"/>
      <c r="D112" s="471"/>
      <c r="E112" s="668"/>
      <c r="F112" s="464"/>
      <c r="G112" s="464"/>
      <c r="H112" s="464"/>
      <c r="I112" s="667"/>
      <c r="J112" s="4"/>
      <c r="K112" s="4"/>
      <c r="L112" s="4"/>
      <c r="M112" s="4"/>
      <c r="N112" s="4"/>
      <c r="O112" s="4"/>
      <c r="P112" s="4"/>
      <c r="Q112" s="4"/>
      <c r="R112" s="4"/>
      <c r="S112" s="4"/>
      <c r="T112" s="4"/>
      <c r="U112" s="4"/>
      <c r="V112" s="4"/>
      <c r="W112" s="4"/>
      <c r="X112" s="4"/>
      <c r="Y112" s="4"/>
    </row>
    <row r="113" spans="1:25" ht="15.75" customHeight="1">
      <c r="A113" s="112"/>
      <c r="B113" s="455" t="s">
        <v>740</v>
      </c>
      <c r="C113" s="464"/>
      <c r="D113" s="472">
        <f ca="1">D108+D111*D109+D110</f>
        <v>0.1841988555136706</v>
      </c>
      <c r="E113" s="670">
        <f>E108+(E111*E109)+E110</f>
        <v>0.14055885551367062</v>
      </c>
      <c r="F113" s="576" t="s">
        <v>490</v>
      </c>
      <c r="G113" s="571"/>
      <c r="H113" s="571"/>
      <c r="I113" s="572"/>
      <c r="J113" s="4"/>
      <c r="K113" s="4"/>
      <c r="L113" s="4"/>
      <c r="M113" s="4"/>
      <c r="N113" s="4"/>
      <c r="O113" s="4"/>
      <c r="P113" s="4"/>
      <c r="Q113" s="4"/>
      <c r="R113" s="4"/>
      <c r="S113" s="4"/>
      <c r="T113" s="4"/>
      <c r="U113" s="4"/>
      <c r="V113" s="4"/>
      <c r="W113" s="4"/>
      <c r="X113" s="4"/>
      <c r="Y113" s="4"/>
    </row>
    <row r="114" spans="1:25" ht="15.75" customHeight="1">
      <c r="A114" s="666"/>
      <c r="B114" s="562" t="s">
        <v>459</v>
      </c>
      <c r="C114" s="464"/>
      <c r="D114" s="673">
        <f>$C$64</f>
        <v>0.27536277976062395</v>
      </c>
      <c r="E114" s="679">
        <f>$C$64</f>
        <v>0.27536277976062395</v>
      </c>
      <c r="F114" s="671"/>
      <c r="G114" s="578"/>
      <c r="H114" s="578"/>
      <c r="I114" s="672"/>
      <c r="J114" s="4"/>
      <c r="K114" s="4"/>
      <c r="L114" s="4"/>
      <c r="M114" s="4"/>
      <c r="N114" s="4"/>
      <c r="O114" s="4"/>
      <c r="P114" s="4"/>
      <c r="Q114" s="4"/>
      <c r="R114" s="4"/>
      <c r="S114" s="4"/>
      <c r="T114" s="4"/>
      <c r="U114" s="4"/>
      <c r="V114" s="4"/>
      <c r="W114" s="4"/>
      <c r="X114" s="4"/>
      <c r="Y114" s="4"/>
    </row>
    <row r="115" spans="1:25" ht="15.75" customHeight="1">
      <c r="A115" s="666"/>
      <c r="B115" s="252" t="s">
        <v>452</v>
      </c>
      <c r="C115" s="464"/>
      <c r="D115" s="472">
        <f ca="1">C54</f>
        <v>9.0680000000000011E-2</v>
      </c>
      <c r="E115" s="670">
        <f>E108+D45</f>
        <v>6.5339999999999995E-2</v>
      </c>
      <c r="F115" s="671"/>
      <c r="G115" s="578"/>
      <c r="H115" s="578"/>
      <c r="I115" s="672"/>
      <c r="J115" s="4"/>
      <c r="K115" s="4"/>
      <c r="L115" s="4"/>
      <c r="M115" s="4"/>
      <c r="N115" s="4"/>
      <c r="O115" s="4"/>
      <c r="P115" s="4"/>
      <c r="Q115" s="4"/>
      <c r="R115" s="4"/>
      <c r="S115" s="4"/>
      <c r="T115" s="4"/>
      <c r="U115" s="4"/>
      <c r="V115" s="4"/>
      <c r="W115" s="4"/>
      <c r="X115" s="4"/>
      <c r="Y115" s="4"/>
    </row>
    <row r="116" spans="1:25" ht="15.75" customHeight="1">
      <c r="A116" s="666"/>
      <c r="B116" s="562" t="s">
        <v>460</v>
      </c>
      <c r="C116" s="464"/>
      <c r="D116" s="673">
        <f>$C$65</f>
        <v>0.16304272947925413</v>
      </c>
      <c r="E116" s="679">
        <f>$C$65</f>
        <v>0.16304272947925413</v>
      </c>
      <c r="F116" s="671"/>
      <c r="G116" s="578"/>
      <c r="H116" s="578"/>
      <c r="I116" s="672"/>
      <c r="J116" s="4"/>
      <c r="K116" s="4"/>
      <c r="L116" s="4"/>
      <c r="M116" s="4"/>
      <c r="N116" s="4"/>
      <c r="O116" s="4"/>
      <c r="P116" s="4"/>
      <c r="Q116" s="4"/>
      <c r="R116" s="4"/>
      <c r="S116" s="4"/>
      <c r="T116" s="4"/>
      <c r="U116" s="4"/>
      <c r="V116" s="4"/>
      <c r="W116" s="4"/>
      <c r="X116" s="4"/>
      <c r="Y116" s="4"/>
    </row>
    <row r="117" spans="1:25" ht="15.75" customHeight="1">
      <c r="A117" s="666"/>
      <c r="B117" s="252" t="s">
        <v>741</v>
      </c>
      <c r="C117" s="464"/>
      <c r="D117" s="472">
        <f>$C$55</f>
        <v>0.08</v>
      </c>
      <c r="E117" s="670">
        <f>$C$55</f>
        <v>0.08</v>
      </c>
      <c r="F117" s="671"/>
      <c r="G117" s="578"/>
      <c r="H117" s="578"/>
      <c r="I117" s="672"/>
      <c r="J117" s="4"/>
      <c r="K117" s="4"/>
      <c r="L117" s="4"/>
      <c r="M117" s="4"/>
      <c r="N117" s="4"/>
      <c r="O117" s="4"/>
      <c r="P117" s="4"/>
      <c r="Q117" s="4"/>
      <c r="R117" s="4"/>
      <c r="S117" s="4"/>
      <c r="T117" s="4"/>
      <c r="U117" s="4"/>
      <c r="V117" s="4"/>
      <c r="W117" s="4"/>
      <c r="X117" s="4"/>
      <c r="Y117" s="4"/>
    </row>
    <row r="118" spans="1:25" ht="15.75" customHeight="1">
      <c r="A118" s="666"/>
      <c r="B118" s="562" t="s">
        <v>459</v>
      </c>
      <c r="C118" s="464"/>
      <c r="D118" s="673">
        <f>$C$66</f>
        <v>0.56159449076012191</v>
      </c>
      <c r="E118" s="679">
        <f>$C$66</f>
        <v>0.56159449076012191</v>
      </c>
      <c r="F118" s="671"/>
      <c r="G118" s="578"/>
      <c r="H118" s="578"/>
      <c r="I118" s="672"/>
      <c r="J118" s="4"/>
      <c r="K118" s="4"/>
      <c r="L118" s="4"/>
      <c r="M118" s="4"/>
      <c r="N118" s="4"/>
      <c r="O118" s="4"/>
      <c r="P118" s="4"/>
      <c r="Q118" s="4"/>
      <c r="R118" s="4"/>
      <c r="S118" s="4"/>
      <c r="T118" s="4"/>
      <c r="U118" s="4"/>
      <c r="V118" s="4"/>
      <c r="W118" s="4"/>
      <c r="X118" s="4"/>
      <c r="Y118" s="4"/>
    </row>
    <row r="119" spans="1:25" ht="15.75" customHeight="1">
      <c r="A119" s="666"/>
      <c r="B119" s="464"/>
      <c r="C119" s="464"/>
      <c r="D119" s="464"/>
      <c r="E119" s="674"/>
      <c r="F119" s="671"/>
      <c r="G119" s="578"/>
      <c r="H119" s="578"/>
      <c r="I119" s="672"/>
      <c r="J119" s="4"/>
      <c r="K119" s="4"/>
      <c r="L119" s="4"/>
      <c r="M119" s="4"/>
      <c r="N119" s="4"/>
      <c r="O119" s="4"/>
      <c r="P119" s="4"/>
      <c r="Q119" s="4"/>
      <c r="R119" s="4"/>
      <c r="S119" s="4"/>
      <c r="T119" s="4"/>
      <c r="U119" s="4"/>
      <c r="V119" s="4"/>
      <c r="W119" s="4"/>
      <c r="X119" s="4"/>
      <c r="Y119" s="4"/>
    </row>
    <row r="120" spans="1:25" ht="15.75" customHeight="1">
      <c r="A120" s="666"/>
      <c r="B120" s="455" t="s">
        <v>739</v>
      </c>
      <c r="C120" s="464"/>
      <c r="D120" s="675">
        <f ca="1">(D113*D114)+(D115*D116)+(D117*D118)</f>
        <v>0.11043378285295839</v>
      </c>
      <c r="E120" s="676">
        <f>(E113*E114)+(E115*E116)+(E117*E118)</f>
        <v>9.4285448379200471E-2</v>
      </c>
      <c r="F120" s="671"/>
      <c r="G120" s="578"/>
      <c r="H120" s="578"/>
      <c r="I120" s="672"/>
      <c r="J120" s="4"/>
      <c r="K120" s="4"/>
      <c r="L120" s="4"/>
      <c r="M120" s="4"/>
      <c r="N120" s="4"/>
      <c r="O120" s="4"/>
      <c r="P120" s="4"/>
      <c r="Q120" s="4"/>
      <c r="R120" s="4"/>
      <c r="S120" s="4"/>
      <c r="T120" s="4"/>
      <c r="U120" s="4"/>
      <c r="V120" s="4"/>
      <c r="W120" s="4"/>
      <c r="X120" s="4"/>
      <c r="Y120" s="4"/>
    </row>
    <row r="121" spans="1:25" ht="15.75" customHeight="1">
      <c r="A121" s="666"/>
      <c r="B121" s="464"/>
      <c r="C121" s="464"/>
      <c r="D121" s="464"/>
      <c r="E121" s="674"/>
      <c r="F121" s="671"/>
      <c r="G121" s="578"/>
      <c r="H121" s="578"/>
      <c r="I121" s="672"/>
      <c r="J121" s="4"/>
      <c r="K121" s="4"/>
      <c r="L121" s="4"/>
      <c r="M121" s="4"/>
      <c r="N121" s="4"/>
      <c r="O121" s="4"/>
      <c r="P121" s="4"/>
      <c r="Q121" s="4"/>
      <c r="R121" s="4"/>
      <c r="S121" s="4"/>
      <c r="T121" s="4"/>
      <c r="U121" s="4"/>
      <c r="V121" s="4"/>
      <c r="W121" s="4"/>
      <c r="X121" s="4"/>
      <c r="Y121" s="4"/>
    </row>
    <row r="122" spans="1:25" ht="15.75" customHeight="1">
      <c r="A122" s="112"/>
      <c r="B122" s="358" t="s">
        <v>491</v>
      </c>
      <c r="C122" s="464"/>
      <c r="D122" s="473">
        <f ca="1">$D$16/(1+$D$120)^1+$E$16/(1+$D$120)^2+$F$16/(1+$D$120)^3+$G$16/(1+$D$120)^4+$H$16/(1+$D$120)^5</f>
        <v>243920.48834778499</v>
      </c>
      <c r="E122" s="680">
        <f>$D$16/(1+$E$120)^1+$E$16/(1+$E$120)^2+$F$16/(1+$E$120)^3+$G$16/(1+$E$120)^4+$H$16/(1+$E$120)^5</f>
        <v>254555.49353767518</v>
      </c>
      <c r="F122" s="577"/>
      <c r="G122" s="578"/>
      <c r="H122" s="578"/>
      <c r="I122" s="579"/>
      <c r="J122" s="4"/>
      <c r="K122" s="4"/>
      <c r="L122" s="4"/>
      <c r="M122" s="4"/>
      <c r="N122" s="4"/>
      <c r="O122" s="4"/>
      <c r="P122" s="4"/>
      <c r="Q122" s="4"/>
      <c r="R122" s="4"/>
      <c r="S122" s="4"/>
      <c r="T122" s="4"/>
      <c r="U122" s="4"/>
      <c r="V122" s="4"/>
      <c r="W122" s="4"/>
      <c r="X122" s="4"/>
      <c r="Y122" s="4"/>
    </row>
    <row r="123" spans="1:25" ht="15.75" customHeight="1">
      <c r="A123" s="112"/>
      <c r="B123" s="358" t="s">
        <v>492</v>
      </c>
      <c r="C123" s="464"/>
      <c r="D123" s="473">
        <f ca="1">$H$16*(1+$D$80)/($D$120-$D$80)</f>
        <v>862569.59427277523</v>
      </c>
      <c r="E123" s="680">
        <f>$H$16*(1+$D$80)/($E$120-$D$80)</f>
        <v>1050076.8735464709</v>
      </c>
      <c r="F123" s="577"/>
      <c r="G123" s="578"/>
      <c r="H123" s="578"/>
      <c r="I123" s="579"/>
      <c r="J123" s="4"/>
      <c r="K123" s="4"/>
      <c r="L123" s="4"/>
      <c r="M123" s="4"/>
      <c r="N123" s="4"/>
      <c r="O123" s="4"/>
      <c r="P123" s="4"/>
      <c r="Q123" s="4"/>
      <c r="R123" s="4"/>
      <c r="S123" s="4"/>
      <c r="T123" s="4"/>
      <c r="U123" s="4"/>
      <c r="V123" s="4"/>
      <c r="W123" s="4"/>
      <c r="X123" s="4"/>
      <c r="Y123" s="4"/>
    </row>
    <row r="124" spans="1:25" ht="15.75" customHeight="1">
      <c r="A124" s="112"/>
      <c r="B124" s="358" t="s">
        <v>493</v>
      </c>
      <c r="C124" s="464"/>
      <c r="D124" s="474">
        <f ca="1">D123/'Income Statement'!$M$33</f>
        <v>7.896450834226922</v>
      </c>
      <c r="E124" s="681">
        <f>E123/'Income Statement'!$M$33</f>
        <v>9.6129987182184866</v>
      </c>
      <c r="F124" s="577"/>
      <c r="G124" s="578"/>
      <c r="H124" s="578"/>
      <c r="I124" s="579"/>
      <c r="J124" s="4"/>
      <c r="K124" s="4"/>
      <c r="L124" s="4"/>
      <c r="M124" s="4"/>
      <c r="N124" s="4"/>
      <c r="O124" s="4"/>
      <c r="P124" s="4"/>
      <c r="Q124" s="4"/>
      <c r="R124" s="4"/>
      <c r="S124" s="4"/>
      <c r="T124" s="4"/>
      <c r="U124" s="4"/>
      <c r="V124" s="4"/>
      <c r="W124" s="4"/>
      <c r="X124" s="4"/>
      <c r="Y124" s="4"/>
    </row>
    <row r="125" spans="1:25" ht="15.75" customHeight="1">
      <c r="A125" s="112"/>
      <c r="B125" s="358" t="s">
        <v>494</v>
      </c>
      <c r="C125" s="464"/>
      <c r="D125" s="473">
        <f ca="1">D123/(1+$D$120)^5</f>
        <v>510894.01565502805</v>
      </c>
      <c r="E125" s="680">
        <f>E123/(1+$E$120)^5</f>
        <v>669218.55433053779</v>
      </c>
      <c r="F125" s="577"/>
      <c r="G125" s="578"/>
      <c r="H125" s="578"/>
      <c r="I125" s="579"/>
      <c r="J125" s="4"/>
      <c r="K125" s="4"/>
      <c r="L125" s="4"/>
      <c r="M125" s="4"/>
      <c r="N125" s="4"/>
      <c r="O125" s="4"/>
      <c r="P125" s="4"/>
      <c r="Q125" s="4"/>
      <c r="R125" s="4"/>
      <c r="S125" s="4"/>
      <c r="T125" s="4"/>
      <c r="U125" s="4"/>
      <c r="V125" s="4"/>
      <c r="W125" s="4"/>
      <c r="X125" s="4"/>
      <c r="Y125" s="4"/>
    </row>
    <row r="126" spans="1:25" ht="15.75" customHeight="1">
      <c r="A126" s="112"/>
      <c r="B126" s="455" t="s">
        <v>15</v>
      </c>
      <c r="C126" s="464"/>
      <c r="D126" s="475">
        <f ca="1">D122+D125</f>
        <v>754814.50400281302</v>
      </c>
      <c r="E126" s="682">
        <f>E122+E125</f>
        <v>923774.04786821292</v>
      </c>
      <c r="F126" s="577"/>
      <c r="G126" s="578"/>
      <c r="H126" s="578"/>
      <c r="I126" s="579"/>
      <c r="J126" s="4"/>
      <c r="K126" s="4"/>
      <c r="L126" s="4"/>
      <c r="M126" s="4"/>
      <c r="N126" s="4"/>
      <c r="O126" s="4"/>
      <c r="P126" s="4"/>
      <c r="Q126" s="4"/>
      <c r="R126" s="4"/>
      <c r="S126" s="4"/>
      <c r="T126" s="4"/>
      <c r="U126" s="4"/>
      <c r="V126" s="4"/>
      <c r="W126" s="4"/>
      <c r="X126" s="4"/>
      <c r="Y126" s="4"/>
    </row>
    <row r="127" spans="1:25" ht="15.75" customHeight="1">
      <c r="A127" s="112"/>
      <c r="B127" s="464"/>
      <c r="C127" s="464"/>
      <c r="D127" s="476"/>
      <c r="E127" s="683"/>
      <c r="F127" s="577"/>
      <c r="G127" s="578"/>
      <c r="H127" s="578"/>
      <c r="I127" s="579"/>
      <c r="J127" s="4"/>
      <c r="K127" s="4"/>
      <c r="L127" s="4"/>
      <c r="M127" s="4"/>
      <c r="N127" s="4"/>
      <c r="O127" s="4"/>
      <c r="P127" s="4"/>
      <c r="Q127" s="4"/>
      <c r="R127" s="4"/>
      <c r="S127" s="4"/>
      <c r="T127" s="4"/>
      <c r="U127" s="4"/>
      <c r="V127" s="4"/>
      <c r="W127" s="4"/>
      <c r="X127" s="4"/>
      <c r="Y127" s="4"/>
    </row>
    <row r="128" spans="1:25" ht="15.75" customHeight="1">
      <c r="A128" s="112"/>
      <c r="B128" s="477" t="s">
        <v>495</v>
      </c>
      <c r="C128" s="464"/>
      <c r="D128" s="473">
        <f t="shared" ref="D128:E128" si="4">$D$88</f>
        <v>-508330.321</v>
      </c>
      <c r="E128" s="680">
        <f t="shared" si="4"/>
        <v>-508330.321</v>
      </c>
      <c r="F128" s="577"/>
      <c r="G128" s="578"/>
      <c r="H128" s="578"/>
      <c r="I128" s="579"/>
      <c r="J128" s="4"/>
      <c r="K128" s="4"/>
      <c r="L128" s="4"/>
      <c r="M128" s="4"/>
      <c r="N128" s="4"/>
      <c r="O128" s="4"/>
      <c r="P128" s="4"/>
      <c r="Q128" s="4"/>
      <c r="R128" s="4"/>
      <c r="S128" s="4"/>
      <c r="T128" s="4"/>
      <c r="U128" s="4"/>
      <c r="V128" s="4"/>
      <c r="W128" s="4"/>
      <c r="X128" s="4"/>
      <c r="Y128" s="4"/>
    </row>
    <row r="129" spans="1:25" ht="15.75" customHeight="1">
      <c r="A129" s="112"/>
      <c r="B129" s="477" t="s">
        <v>14</v>
      </c>
      <c r="C129" s="464"/>
      <c r="D129" s="473">
        <f t="shared" ref="D129:E129" si="5">$D$94</f>
        <v>119411.27099999995</v>
      </c>
      <c r="E129" s="680">
        <f t="shared" si="5"/>
        <v>119411.27099999995</v>
      </c>
      <c r="F129" s="577"/>
      <c r="G129" s="578"/>
      <c r="H129" s="578"/>
      <c r="I129" s="579"/>
      <c r="J129" s="4"/>
      <c r="K129" s="4"/>
      <c r="L129" s="4"/>
      <c r="M129" s="4"/>
      <c r="N129" s="4"/>
      <c r="O129" s="4"/>
      <c r="P129" s="4"/>
      <c r="Q129" s="4"/>
      <c r="R129" s="4"/>
      <c r="S129" s="4"/>
      <c r="T129" s="4"/>
      <c r="U129" s="4"/>
      <c r="V129" s="4"/>
      <c r="W129" s="4"/>
      <c r="X129" s="4"/>
      <c r="Y129" s="4"/>
    </row>
    <row r="130" spans="1:25" ht="15.75" customHeight="1">
      <c r="A130" s="112"/>
      <c r="B130" s="464"/>
      <c r="C130" s="464"/>
      <c r="D130" s="476"/>
      <c r="E130" s="683"/>
      <c r="F130" s="577"/>
      <c r="G130" s="578"/>
      <c r="H130" s="578"/>
      <c r="I130" s="579"/>
      <c r="J130" s="4"/>
      <c r="K130" s="4"/>
      <c r="L130" s="4"/>
      <c r="M130" s="4"/>
      <c r="N130" s="4"/>
      <c r="O130" s="4"/>
      <c r="P130" s="4"/>
      <c r="Q130" s="4"/>
      <c r="R130" s="4"/>
      <c r="S130" s="4"/>
      <c r="T130" s="4"/>
      <c r="U130" s="4"/>
      <c r="V130" s="4"/>
      <c r="W130" s="4"/>
      <c r="X130" s="4"/>
      <c r="Y130" s="4"/>
    </row>
    <row r="131" spans="1:25" ht="15.75" customHeight="1">
      <c r="A131" s="112"/>
      <c r="B131" s="455" t="s">
        <v>496</v>
      </c>
      <c r="C131" s="464"/>
      <c r="D131" s="475">
        <f ca="1">SUM(D126,D128:D129)</f>
        <v>365895.45400281297</v>
      </c>
      <c r="E131" s="682">
        <f t="shared" ref="E131" si="6">SUM(E126,E128:E129)</f>
        <v>534854.99786821287</v>
      </c>
      <c r="F131" s="577"/>
      <c r="G131" s="578"/>
      <c r="H131" s="578"/>
      <c r="I131" s="579"/>
      <c r="J131" s="4"/>
      <c r="K131" s="4"/>
      <c r="L131" s="4"/>
      <c r="M131" s="4"/>
      <c r="N131" s="4"/>
      <c r="O131" s="4"/>
      <c r="P131" s="4"/>
      <c r="Q131" s="4"/>
      <c r="R131" s="4"/>
      <c r="S131" s="4"/>
      <c r="T131" s="4"/>
      <c r="U131" s="4"/>
      <c r="V131" s="4"/>
      <c r="W131" s="4"/>
      <c r="X131" s="4"/>
      <c r="Y131" s="4"/>
    </row>
    <row r="132" spans="1:25" ht="15.75" customHeight="1">
      <c r="A132" s="112"/>
      <c r="B132" s="358" t="s">
        <v>497</v>
      </c>
      <c r="C132" s="464"/>
      <c r="D132" s="473">
        <f t="shared" ref="D132:E132" si="7">$D$100</f>
        <v>43401.239000000001</v>
      </c>
      <c r="E132" s="680">
        <f t="shared" si="7"/>
        <v>43401.239000000001</v>
      </c>
      <c r="F132" s="577"/>
      <c r="G132" s="578"/>
      <c r="H132" s="578"/>
      <c r="I132" s="579"/>
      <c r="J132" s="4"/>
      <c r="K132" s="4"/>
      <c r="L132" s="4"/>
      <c r="M132" s="4"/>
      <c r="N132" s="4"/>
      <c r="O132" s="4"/>
      <c r="P132" s="4"/>
      <c r="Q132" s="4"/>
      <c r="R132" s="4"/>
      <c r="S132" s="4"/>
      <c r="T132" s="4"/>
      <c r="U132" s="4"/>
      <c r="V132" s="4"/>
      <c r="W132" s="4"/>
      <c r="X132" s="4"/>
      <c r="Y132" s="4"/>
    </row>
    <row r="133" spans="1:25" ht="15.75" customHeight="1">
      <c r="A133" s="112"/>
      <c r="B133" s="464"/>
      <c r="C133" s="464"/>
      <c r="D133" s="478"/>
      <c r="E133" s="684"/>
      <c r="F133" s="577"/>
      <c r="G133" s="578"/>
      <c r="H133" s="578"/>
      <c r="I133" s="579"/>
      <c r="J133" s="4"/>
      <c r="K133" s="4"/>
      <c r="L133" s="4"/>
      <c r="M133" s="4"/>
      <c r="N133" s="4"/>
      <c r="O133" s="4"/>
      <c r="P133" s="4"/>
      <c r="Q133" s="4"/>
      <c r="R133" s="4"/>
      <c r="S133" s="4"/>
      <c r="T133" s="4"/>
      <c r="U133" s="4"/>
      <c r="V133" s="4"/>
      <c r="W133" s="4"/>
      <c r="X133" s="4"/>
      <c r="Y133" s="4"/>
    </row>
    <row r="134" spans="1:25" ht="15.75" customHeight="1">
      <c r="A134" s="112"/>
      <c r="B134" s="455" t="s">
        <v>6</v>
      </c>
      <c r="C134" s="464"/>
      <c r="D134" s="479">
        <f t="shared" ref="D134:E134" ca="1" si="8">D131/D132</f>
        <v>8.4305301515197062</v>
      </c>
      <c r="E134" s="685">
        <f t="shared" si="8"/>
        <v>12.32349606121182</v>
      </c>
      <c r="F134" s="577"/>
      <c r="G134" s="578"/>
      <c r="H134" s="578"/>
      <c r="I134" s="579"/>
      <c r="J134" s="4"/>
      <c r="K134" s="4"/>
      <c r="L134" s="4"/>
      <c r="M134" s="4"/>
      <c r="N134" s="4"/>
      <c r="O134" s="4"/>
      <c r="P134" s="4"/>
      <c r="Q134" s="4"/>
      <c r="R134" s="4"/>
      <c r="S134" s="4"/>
      <c r="T134" s="4"/>
      <c r="U134" s="4"/>
      <c r="V134" s="4"/>
      <c r="W134" s="4"/>
      <c r="X134" s="4"/>
      <c r="Y134" s="4"/>
    </row>
    <row r="135" spans="1:25" ht="15.75" customHeight="1">
      <c r="A135" s="112"/>
      <c r="B135" s="477" t="s">
        <v>7</v>
      </c>
      <c r="C135" s="464"/>
      <c r="D135" s="480">
        <f t="shared" ref="D135:E135" si="9">$C$58</f>
        <v>3.78</v>
      </c>
      <c r="E135" s="686">
        <f t="shared" si="9"/>
        <v>3.78</v>
      </c>
      <c r="F135" s="577"/>
      <c r="G135" s="578"/>
      <c r="H135" s="578"/>
      <c r="I135" s="579"/>
      <c r="J135" s="4"/>
      <c r="K135" s="4"/>
      <c r="L135" s="4"/>
      <c r="M135" s="4"/>
      <c r="N135" s="4"/>
      <c r="O135" s="4"/>
      <c r="P135" s="4"/>
      <c r="Q135" s="4"/>
      <c r="R135" s="4"/>
      <c r="S135" s="4"/>
      <c r="T135" s="4"/>
      <c r="U135" s="4"/>
      <c r="V135" s="4"/>
      <c r="W135" s="4"/>
      <c r="X135" s="4"/>
      <c r="Y135" s="4"/>
    </row>
    <row r="136" spans="1:25" ht="15.75" customHeight="1">
      <c r="A136" s="381"/>
      <c r="B136" s="481" t="s">
        <v>8</v>
      </c>
      <c r="C136" s="440"/>
      <c r="D136" s="677">
        <f t="shared" ref="D136:E136" ca="1" si="10">D134/D135-1</f>
        <v>1.2302989818835202</v>
      </c>
      <c r="E136" s="678">
        <f t="shared" si="10"/>
        <v>2.2601841431777303</v>
      </c>
      <c r="F136" s="573"/>
      <c r="G136" s="574"/>
      <c r="H136" s="574"/>
      <c r="I136" s="575"/>
      <c r="J136" s="4"/>
      <c r="K136" s="4"/>
      <c r="L136" s="4"/>
      <c r="M136" s="4"/>
      <c r="N136" s="4"/>
      <c r="O136" s="4"/>
      <c r="P136" s="4"/>
      <c r="Q136" s="4"/>
      <c r="R136" s="4"/>
      <c r="S136" s="4"/>
      <c r="T136" s="4"/>
      <c r="U136" s="4"/>
      <c r="V136" s="4"/>
      <c r="W136" s="4"/>
      <c r="X136" s="4"/>
      <c r="Y136" s="4"/>
    </row>
    <row r="137" spans="1:25" ht="15.75" customHeight="1">
      <c r="A137" s="7"/>
      <c r="B137" s="7"/>
      <c r="C137" s="29"/>
      <c r="D137" s="7"/>
      <c r="E137" s="7"/>
      <c r="F137" s="7"/>
      <c r="G137" s="7"/>
      <c r="H137" s="7"/>
      <c r="I137" s="7"/>
      <c r="J137" s="7"/>
      <c r="K137" s="7"/>
      <c r="L137" s="7"/>
      <c r="M137" s="7"/>
      <c r="N137" s="7"/>
      <c r="O137" s="7"/>
      <c r="P137" s="7"/>
      <c r="Q137" s="7"/>
      <c r="R137" s="7"/>
      <c r="S137" s="7"/>
      <c r="T137" s="7"/>
      <c r="U137" s="7"/>
      <c r="V137" s="7"/>
      <c r="W137" s="7"/>
      <c r="X137" s="7"/>
      <c r="Y137" s="7"/>
    </row>
    <row r="138" spans="1:25" ht="15.75" customHeight="1">
      <c r="A138" s="7"/>
      <c r="B138" s="7"/>
      <c r="C138" s="29"/>
      <c r="D138" s="7"/>
      <c r="E138" s="7"/>
      <c r="F138" s="7"/>
      <c r="G138" s="7"/>
      <c r="H138" s="7"/>
      <c r="I138" s="7"/>
      <c r="J138" s="7"/>
      <c r="K138" s="7"/>
      <c r="L138" s="7"/>
      <c r="M138" s="7"/>
      <c r="N138" s="7"/>
      <c r="O138" s="7"/>
      <c r="P138" s="7"/>
      <c r="Q138" s="7"/>
      <c r="R138" s="7"/>
      <c r="S138" s="7"/>
      <c r="T138" s="7"/>
      <c r="U138" s="7"/>
      <c r="V138" s="7"/>
      <c r="W138" s="7"/>
      <c r="X138" s="7"/>
      <c r="Y138" s="7"/>
    </row>
    <row r="139" spans="1:25" ht="15.75" customHeight="1">
      <c r="A139" s="7"/>
      <c r="B139" s="7"/>
      <c r="C139" s="29"/>
      <c r="D139" s="7"/>
      <c r="E139" s="7"/>
      <c r="F139" s="7"/>
      <c r="G139" s="7"/>
      <c r="H139" s="7"/>
      <c r="I139" s="7"/>
      <c r="J139" s="7"/>
      <c r="K139" s="7"/>
      <c r="L139" s="7"/>
      <c r="M139" s="7"/>
      <c r="N139" s="7"/>
      <c r="O139" s="7"/>
      <c r="P139" s="7"/>
      <c r="Q139" s="7"/>
      <c r="R139" s="7"/>
      <c r="S139" s="7"/>
      <c r="T139" s="7"/>
      <c r="U139" s="7"/>
      <c r="V139" s="7"/>
      <c r="W139" s="7"/>
      <c r="X139" s="7"/>
      <c r="Y139" s="7"/>
    </row>
    <row r="140" spans="1:25" ht="15.75" customHeight="1">
      <c r="A140" s="7"/>
      <c r="B140" s="7"/>
      <c r="C140" s="29"/>
      <c r="D140" s="7"/>
      <c r="E140" s="7"/>
      <c r="F140" s="7"/>
      <c r="G140" s="7"/>
      <c r="H140" s="7"/>
      <c r="I140" s="7"/>
      <c r="J140" s="7"/>
      <c r="K140" s="7"/>
      <c r="L140" s="7"/>
      <c r="M140" s="7"/>
      <c r="N140" s="7"/>
      <c r="O140" s="7"/>
      <c r="P140" s="7"/>
      <c r="Q140" s="7"/>
      <c r="R140" s="7"/>
      <c r="S140" s="7"/>
      <c r="T140" s="7"/>
      <c r="U140" s="7"/>
      <c r="V140" s="7"/>
      <c r="W140" s="7"/>
      <c r="X140" s="7"/>
      <c r="Y140" s="7"/>
    </row>
    <row r="141" spans="1:25" ht="15.75" customHeight="1">
      <c r="A141" s="7"/>
      <c r="B141" s="7"/>
      <c r="C141" s="29"/>
      <c r="D141" s="7"/>
      <c r="E141" s="7"/>
      <c r="F141" s="7"/>
      <c r="G141" s="7"/>
      <c r="H141" s="7"/>
      <c r="I141" s="7"/>
      <c r="J141" s="7"/>
      <c r="K141" s="7"/>
      <c r="L141" s="7"/>
      <c r="M141" s="7"/>
      <c r="N141" s="7"/>
      <c r="O141" s="7"/>
      <c r="P141" s="7"/>
      <c r="Q141" s="7"/>
      <c r="R141" s="7"/>
      <c r="S141" s="7"/>
      <c r="T141" s="7"/>
      <c r="U141" s="7"/>
      <c r="V141" s="7"/>
      <c r="W141" s="7"/>
      <c r="X141" s="7"/>
      <c r="Y141" s="7"/>
    </row>
    <row r="142" spans="1:25" ht="15.75" customHeight="1">
      <c r="A142" s="7"/>
      <c r="B142" s="7"/>
      <c r="C142" s="29"/>
      <c r="D142" s="7"/>
      <c r="E142" s="7"/>
      <c r="F142" s="7"/>
      <c r="G142" s="7"/>
      <c r="H142" s="7"/>
      <c r="I142" s="7"/>
      <c r="J142" s="7"/>
      <c r="K142" s="7"/>
      <c r="L142" s="7"/>
      <c r="M142" s="7"/>
      <c r="N142" s="7"/>
      <c r="O142" s="7"/>
      <c r="P142" s="7"/>
      <c r="Q142" s="7"/>
      <c r="R142" s="7"/>
      <c r="S142" s="7"/>
      <c r="T142" s="7"/>
      <c r="U142" s="7"/>
      <c r="V142" s="7"/>
      <c r="W142" s="7"/>
      <c r="X142" s="7"/>
      <c r="Y142" s="7"/>
    </row>
    <row r="143" spans="1:25" ht="15.75" customHeight="1">
      <c r="A143" s="7"/>
      <c r="B143" s="7"/>
      <c r="C143" s="29"/>
      <c r="D143" s="7"/>
      <c r="E143" s="7"/>
      <c r="F143" s="7"/>
      <c r="G143" s="7"/>
      <c r="H143" s="7"/>
      <c r="I143" s="7"/>
      <c r="J143" s="7"/>
      <c r="K143" s="7"/>
      <c r="L143" s="7"/>
      <c r="M143" s="7"/>
      <c r="N143" s="7"/>
      <c r="O143" s="7"/>
      <c r="P143" s="7"/>
      <c r="Q143" s="7"/>
      <c r="R143" s="7"/>
      <c r="S143" s="7"/>
      <c r="T143" s="7"/>
      <c r="U143" s="7"/>
      <c r="V143" s="7"/>
      <c r="W143" s="7"/>
      <c r="X143" s="7"/>
      <c r="Y143" s="7"/>
    </row>
    <row r="144" spans="1:25" ht="15.75" customHeight="1">
      <c r="A144" s="7"/>
      <c r="B144" s="7"/>
      <c r="C144" s="29"/>
      <c r="D144" s="7"/>
      <c r="E144" s="7"/>
      <c r="F144" s="7"/>
      <c r="G144" s="7"/>
      <c r="H144" s="7"/>
      <c r="I144" s="7"/>
      <c r="J144" s="7"/>
      <c r="K144" s="7"/>
      <c r="L144" s="7"/>
      <c r="M144" s="7"/>
      <c r="N144" s="7"/>
      <c r="O144" s="7"/>
      <c r="P144" s="7"/>
      <c r="Q144" s="7"/>
      <c r="R144" s="7"/>
      <c r="S144" s="7"/>
      <c r="T144" s="7"/>
      <c r="U144" s="7"/>
      <c r="V144" s="7"/>
      <c r="W144" s="7"/>
      <c r="X144" s="7"/>
      <c r="Y144" s="7"/>
    </row>
    <row r="145" spans="1:25" ht="15.75" customHeight="1">
      <c r="A145" s="7"/>
      <c r="B145" s="7"/>
      <c r="C145" s="29"/>
      <c r="D145" s="7"/>
      <c r="E145" s="7"/>
      <c r="F145" s="7"/>
      <c r="G145" s="7"/>
      <c r="H145" s="7"/>
      <c r="I145" s="7"/>
      <c r="J145" s="7"/>
      <c r="K145" s="7"/>
      <c r="L145" s="7"/>
      <c r="M145" s="7"/>
      <c r="N145" s="7"/>
      <c r="O145" s="7"/>
      <c r="P145" s="7"/>
      <c r="Q145" s="7"/>
      <c r="R145" s="7"/>
      <c r="S145" s="7"/>
      <c r="T145" s="7"/>
      <c r="U145" s="7"/>
      <c r="V145" s="7"/>
      <c r="W145" s="7"/>
      <c r="X145" s="7"/>
      <c r="Y145" s="7"/>
    </row>
    <row r="146" spans="1:25" ht="15.75" customHeight="1">
      <c r="A146" s="7"/>
      <c r="B146" s="7"/>
      <c r="C146" s="29"/>
      <c r="D146" s="7"/>
      <c r="E146" s="7"/>
      <c r="F146" s="7"/>
      <c r="G146" s="7"/>
      <c r="H146" s="7"/>
      <c r="I146" s="7"/>
      <c r="J146" s="7"/>
      <c r="K146" s="7"/>
      <c r="L146" s="7"/>
      <c r="M146" s="7"/>
      <c r="N146" s="7"/>
      <c r="O146" s="7"/>
      <c r="P146" s="7"/>
      <c r="Q146" s="7"/>
      <c r="R146" s="7"/>
      <c r="S146" s="7"/>
      <c r="T146" s="7"/>
      <c r="U146" s="7"/>
      <c r="V146" s="7"/>
      <c r="W146" s="7"/>
      <c r="X146" s="7"/>
      <c r="Y146" s="7"/>
    </row>
    <row r="147" spans="1:25" ht="15.75" customHeight="1">
      <c r="A147" s="7"/>
      <c r="B147" s="7"/>
      <c r="C147" s="29"/>
      <c r="D147" s="7"/>
      <c r="E147" s="7"/>
      <c r="F147" s="7"/>
      <c r="G147" s="7"/>
      <c r="H147" s="7"/>
      <c r="I147" s="7"/>
      <c r="J147" s="7"/>
      <c r="K147" s="7"/>
      <c r="L147" s="7"/>
      <c r="M147" s="7"/>
      <c r="N147" s="7"/>
      <c r="O147" s="7"/>
      <c r="P147" s="7"/>
      <c r="Q147" s="7"/>
      <c r="R147" s="7"/>
      <c r="S147" s="7"/>
      <c r="T147" s="7"/>
      <c r="U147" s="7"/>
      <c r="V147" s="7"/>
      <c r="W147" s="7"/>
      <c r="X147" s="7"/>
      <c r="Y147" s="7"/>
    </row>
    <row r="148" spans="1:25" ht="15.75" customHeight="1">
      <c r="A148" s="7"/>
      <c r="B148" s="7"/>
      <c r="C148" s="29"/>
      <c r="D148" s="7"/>
      <c r="E148" s="7"/>
      <c r="F148" s="7"/>
      <c r="G148" s="7"/>
      <c r="H148" s="7"/>
      <c r="I148" s="7"/>
      <c r="J148" s="7"/>
      <c r="K148" s="7"/>
      <c r="L148" s="7"/>
      <c r="M148" s="7"/>
      <c r="N148" s="7"/>
      <c r="O148" s="7"/>
      <c r="P148" s="7"/>
      <c r="Q148" s="7"/>
      <c r="R148" s="7"/>
      <c r="S148" s="7"/>
      <c r="T148" s="7"/>
      <c r="U148" s="7"/>
      <c r="V148" s="7"/>
      <c r="W148" s="7"/>
      <c r="X148" s="7"/>
      <c r="Y148" s="7"/>
    </row>
    <row r="149" spans="1:25" ht="15.75" customHeight="1">
      <c r="A149" s="7"/>
      <c r="B149" s="7"/>
      <c r="C149" s="29"/>
      <c r="D149" s="7"/>
      <c r="E149" s="7"/>
      <c r="F149" s="7"/>
      <c r="G149" s="7"/>
      <c r="H149" s="7"/>
      <c r="I149" s="7"/>
      <c r="J149" s="7"/>
      <c r="K149" s="7"/>
      <c r="L149" s="7"/>
      <c r="M149" s="7"/>
      <c r="N149" s="7"/>
      <c r="O149" s="7"/>
      <c r="P149" s="7"/>
      <c r="Q149" s="7"/>
      <c r="R149" s="7"/>
      <c r="S149" s="7"/>
      <c r="T149" s="7"/>
      <c r="U149" s="7"/>
      <c r="V149" s="7"/>
      <c r="W149" s="7"/>
      <c r="X149" s="7"/>
      <c r="Y149" s="7"/>
    </row>
    <row r="150" spans="1:25" ht="15.75" customHeight="1">
      <c r="A150" s="7"/>
      <c r="B150" s="7"/>
      <c r="C150" s="29"/>
      <c r="D150" s="7"/>
      <c r="E150" s="7"/>
      <c r="F150" s="7"/>
      <c r="G150" s="7"/>
      <c r="H150" s="7"/>
      <c r="I150" s="7"/>
      <c r="J150" s="7"/>
      <c r="K150" s="7"/>
      <c r="L150" s="7"/>
      <c r="M150" s="7"/>
      <c r="N150" s="7"/>
      <c r="O150" s="7"/>
      <c r="P150" s="7"/>
      <c r="Q150" s="7"/>
      <c r="R150" s="7"/>
      <c r="S150" s="7"/>
      <c r="T150" s="7"/>
      <c r="U150" s="7"/>
      <c r="V150" s="7"/>
      <c r="W150" s="7"/>
      <c r="X150" s="7"/>
      <c r="Y150" s="7"/>
    </row>
    <row r="151" spans="1:25" ht="15.75" customHeight="1">
      <c r="A151" s="7"/>
      <c r="B151" s="7"/>
      <c r="C151" s="29"/>
      <c r="D151" s="7"/>
      <c r="E151" s="7"/>
      <c r="F151" s="7"/>
      <c r="G151" s="7"/>
      <c r="H151" s="7"/>
      <c r="I151" s="7"/>
      <c r="J151" s="7"/>
      <c r="K151" s="7"/>
      <c r="L151" s="7"/>
      <c r="M151" s="7"/>
      <c r="N151" s="7"/>
      <c r="O151" s="7"/>
      <c r="P151" s="7"/>
      <c r="Q151" s="7"/>
      <c r="R151" s="7"/>
      <c r="S151" s="7"/>
      <c r="T151" s="7"/>
      <c r="U151" s="7"/>
      <c r="V151" s="7"/>
      <c r="W151" s="7"/>
      <c r="X151" s="7"/>
      <c r="Y151" s="7"/>
    </row>
    <row r="152" spans="1:25" ht="15.75" customHeight="1">
      <c r="A152" s="7"/>
      <c r="B152" s="7"/>
      <c r="C152" s="29"/>
      <c r="D152" s="7"/>
      <c r="E152" s="7"/>
      <c r="F152" s="7"/>
      <c r="G152" s="7"/>
      <c r="H152" s="7"/>
      <c r="I152" s="7"/>
      <c r="J152" s="7"/>
      <c r="K152" s="7"/>
      <c r="L152" s="7"/>
      <c r="M152" s="7"/>
      <c r="N152" s="7"/>
      <c r="O152" s="7"/>
      <c r="P152" s="7"/>
      <c r="Q152" s="7"/>
      <c r="R152" s="7"/>
      <c r="S152" s="7"/>
      <c r="T152" s="7"/>
      <c r="U152" s="7"/>
      <c r="V152" s="7"/>
      <c r="W152" s="7"/>
      <c r="X152" s="7"/>
      <c r="Y152" s="7"/>
    </row>
    <row r="153" spans="1:25" ht="15.75" customHeight="1">
      <c r="A153" s="7"/>
      <c r="B153" s="7"/>
      <c r="C153" s="29"/>
      <c r="D153" s="7"/>
      <c r="E153" s="7"/>
      <c r="F153" s="7"/>
      <c r="G153" s="7"/>
      <c r="H153" s="7"/>
      <c r="I153" s="7"/>
      <c r="J153" s="7"/>
      <c r="K153" s="7"/>
      <c r="L153" s="7"/>
      <c r="M153" s="7"/>
      <c r="N153" s="7"/>
      <c r="O153" s="7"/>
      <c r="P153" s="7"/>
      <c r="Q153" s="7"/>
      <c r="R153" s="7"/>
      <c r="S153" s="7"/>
      <c r="T153" s="7"/>
      <c r="U153" s="7"/>
      <c r="V153" s="7"/>
      <c r="W153" s="7"/>
      <c r="X153" s="7"/>
      <c r="Y153" s="7"/>
    </row>
    <row r="154" spans="1:25" ht="15.75" customHeight="1">
      <c r="A154" s="7"/>
      <c r="B154" s="7"/>
      <c r="C154" s="29"/>
      <c r="D154" s="7"/>
      <c r="E154" s="7"/>
      <c r="F154" s="7"/>
      <c r="G154" s="7"/>
      <c r="H154" s="7"/>
      <c r="I154" s="7"/>
      <c r="J154" s="7"/>
      <c r="K154" s="7"/>
      <c r="L154" s="7"/>
      <c r="M154" s="7"/>
      <c r="N154" s="7"/>
      <c r="O154" s="7"/>
      <c r="P154" s="7"/>
      <c r="Q154" s="7"/>
      <c r="R154" s="7"/>
      <c r="S154" s="7"/>
      <c r="T154" s="7"/>
      <c r="U154" s="7"/>
      <c r="V154" s="7"/>
      <c r="W154" s="7"/>
      <c r="X154" s="7"/>
      <c r="Y154" s="7"/>
    </row>
    <row r="155" spans="1:25" ht="15.75" customHeight="1">
      <c r="A155" s="7"/>
      <c r="B155" s="7"/>
      <c r="C155" s="29"/>
      <c r="D155" s="7"/>
      <c r="E155" s="7"/>
      <c r="F155" s="7"/>
      <c r="G155" s="7"/>
      <c r="H155" s="7"/>
      <c r="I155" s="7"/>
      <c r="J155" s="7"/>
      <c r="K155" s="7"/>
      <c r="L155" s="7"/>
      <c r="M155" s="7"/>
      <c r="N155" s="7"/>
      <c r="O155" s="7"/>
      <c r="P155" s="7"/>
      <c r="Q155" s="7"/>
      <c r="R155" s="7"/>
      <c r="S155" s="7"/>
      <c r="T155" s="7"/>
      <c r="U155" s="7"/>
      <c r="V155" s="7"/>
      <c r="W155" s="7"/>
      <c r="X155" s="7"/>
      <c r="Y155" s="7"/>
    </row>
    <row r="156" spans="1:25" ht="15.75" customHeight="1">
      <c r="A156" s="7"/>
      <c r="B156" s="7"/>
      <c r="C156" s="29"/>
      <c r="D156" s="7"/>
      <c r="E156" s="7"/>
      <c r="F156" s="7"/>
      <c r="G156" s="7"/>
      <c r="H156" s="7"/>
      <c r="I156" s="7"/>
      <c r="J156" s="7"/>
      <c r="K156" s="7"/>
      <c r="L156" s="7"/>
      <c r="M156" s="7"/>
      <c r="N156" s="7"/>
      <c r="O156" s="7"/>
      <c r="P156" s="7"/>
      <c r="Q156" s="7"/>
      <c r="R156" s="7"/>
      <c r="S156" s="7"/>
      <c r="T156" s="7"/>
      <c r="U156" s="7"/>
      <c r="V156" s="7"/>
      <c r="W156" s="7"/>
      <c r="X156" s="7"/>
      <c r="Y156" s="7"/>
    </row>
    <row r="157" spans="1:25" ht="15.75" customHeight="1">
      <c r="A157" s="7"/>
      <c r="B157" s="7"/>
      <c r="C157" s="29"/>
      <c r="D157" s="7"/>
      <c r="E157" s="7"/>
      <c r="F157" s="7"/>
      <c r="G157" s="7"/>
      <c r="H157" s="7"/>
      <c r="I157" s="7"/>
      <c r="J157" s="7"/>
      <c r="K157" s="7"/>
      <c r="L157" s="7"/>
      <c r="M157" s="7"/>
      <c r="N157" s="7"/>
      <c r="O157" s="7"/>
      <c r="P157" s="7"/>
      <c r="Q157" s="7"/>
      <c r="R157" s="7"/>
      <c r="S157" s="7"/>
      <c r="T157" s="7"/>
      <c r="U157" s="7"/>
      <c r="V157" s="7"/>
      <c r="W157" s="7"/>
      <c r="X157" s="7"/>
      <c r="Y157" s="7"/>
    </row>
    <row r="158" spans="1:25" ht="15.75" customHeight="1">
      <c r="A158" s="7"/>
      <c r="B158" s="7"/>
      <c r="C158" s="29"/>
      <c r="D158" s="7"/>
      <c r="E158" s="7"/>
      <c r="F158" s="7"/>
      <c r="G158" s="7"/>
      <c r="H158" s="7"/>
      <c r="I158" s="7"/>
      <c r="J158" s="7"/>
      <c r="K158" s="7"/>
      <c r="L158" s="7"/>
      <c r="M158" s="7"/>
      <c r="N158" s="7"/>
      <c r="O158" s="7"/>
      <c r="P158" s="7"/>
      <c r="Q158" s="7"/>
      <c r="R158" s="7"/>
      <c r="S158" s="7"/>
      <c r="T158" s="7"/>
      <c r="U158" s="7"/>
      <c r="V158" s="7"/>
      <c r="W158" s="7"/>
      <c r="X158" s="7"/>
      <c r="Y158" s="7"/>
    </row>
    <row r="159" spans="1:25" ht="15.75" customHeight="1">
      <c r="A159" s="7"/>
      <c r="B159" s="7"/>
      <c r="C159" s="29"/>
      <c r="D159" s="7"/>
      <c r="E159" s="7"/>
      <c r="F159" s="7"/>
      <c r="G159" s="7"/>
      <c r="H159" s="7"/>
      <c r="I159" s="7"/>
      <c r="J159" s="7"/>
      <c r="K159" s="7"/>
      <c r="L159" s="7"/>
      <c r="M159" s="7"/>
      <c r="N159" s="7"/>
      <c r="O159" s="7"/>
      <c r="P159" s="7"/>
      <c r="Q159" s="7"/>
      <c r="R159" s="7"/>
      <c r="S159" s="7"/>
      <c r="T159" s="7"/>
      <c r="U159" s="7"/>
      <c r="V159" s="7"/>
      <c r="W159" s="7"/>
      <c r="X159" s="7"/>
      <c r="Y159" s="7"/>
    </row>
    <row r="160" spans="1:25" ht="15.75" customHeight="1">
      <c r="A160" s="7"/>
      <c r="B160" s="7"/>
      <c r="C160" s="29"/>
      <c r="D160" s="7"/>
      <c r="E160" s="7"/>
      <c r="F160" s="7"/>
      <c r="G160" s="7"/>
      <c r="H160" s="7"/>
      <c r="I160" s="7"/>
      <c r="J160" s="7"/>
      <c r="K160" s="7"/>
      <c r="L160" s="7"/>
      <c r="M160" s="7"/>
      <c r="N160" s="7"/>
      <c r="O160" s="7"/>
      <c r="P160" s="7"/>
      <c r="Q160" s="7"/>
      <c r="R160" s="7"/>
      <c r="S160" s="7"/>
      <c r="T160" s="7"/>
      <c r="U160" s="7"/>
      <c r="V160" s="7"/>
      <c r="W160" s="7"/>
      <c r="X160" s="7"/>
      <c r="Y160" s="7"/>
    </row>
    <row r="161" spans="1:25" ht="15.75" customHeight="1">
      <c r="A161" s="7"/>
      <c r="B161" s="7"/>
      <c r="C161" s="29"/>
      <c r="D161" s="7"/>
      <c r="E161" s="7"/>
      <c r="F161" s="7"/>
      <c r="G161" s="7"/>
      <c r="H161" s="7"/>
      <c r="I161" s="7"/>
      <c r="J161" s="7"/>
      <c r="K161" s="7"/>
      <c r="L161" s="7"/>
      <c r="M161" s="7"/>
      <c r="N161" s="7"/>
      <c r="O161" s="7"/>
      <c r="P161" s="7"/>
      <c r="Q161" s="7"/>
      <c r="R161" s="7"/>
      <c r="S161" s="7"/>
      <c r="T161" s="7"/>
      <c r="U161" s="7"/>
      <c r="V161" s="7"/>
      <c r="W161" s="7"/>
      <c r="X161" s="7"/>
      <c r="Y161" s="7"/>
    </row>
    <row r="162" spans="1:25" ht="15.75" customHeight="1">
      <c r="A162" s="7"/>
      <c r="B162" s="7"/>
      <c r="C162" s="29"/>
      <c r="D162" s="7"/>
      <c r="E162" s="7"/>
      <c r="F162" s="7"/>
      <c r="G162" s="7"/>
      <c r="H162" s="7"/>
      <c r="I162" s="7"/>
      <c r="J162" s="7"/>
      <c r="K162" s="7"/>
      <c r="L162" s="7"/>
      <c r="M162" s="7"/>
      <c r="N162" s="7"/>
      <c r="O162" s="7"/>
      <c r="P162" s="7"/>
      <c r="Q162" s="7"/>
      <c r="R162" s="7"/>
      <c r="S162" s="7"/>
      <c r="T162" s="7"/>
      <c r="U162" s="7"/>
      <c r="V162" s="7"/>
      <c r="W162" s="7"/>
      <c r="X162" s="7"/>
      <c r="Y162" s="7"/>
    </row>
    <row r="163" spans="1:25" ht="15.75" customHeight="1">
      <c r="A163" s="7"/>
      <c r="B163" s="7"/>
      <c r="C163" s="29"/>
      <c r="D163" s="7"/>
      <c r="E163" s="7"/>
      <c r="F163" s="7"/>
      <c r="G163" s="7"/>
      <c r="H163" s="7"/>
      <c r="I163" s="7"/>
      <c r="J163" s="7"/>
      <c r="K163" s="7"/>
      <c r="L163" s="7"/>
      <c r="M163" s="7"/>
      <c r="N163" s="7"/>
      <c r="O163" s="7"/>
      <c r="P163" s="7"/>
      <c r="Q163" s="7"/>
      <c r="R163" s="7"/>
      <c r="S163" s="7"/>
      <c r="T163" s="7"/>
      <c r="U163" s="7"/>
      <c r="V163" s="7"/>
      <c r="W163" s="7"/>
      <c r="X163" s="7"/>
      <c r="Y163" s="7"/>
    </row>
    <row r="164" spans="1:25" ht="15.75" customHeight="1">
      <c r="A164" s="7"/>
      <c r="B164" s="7"/>
      <c r="C164" s="29"/>
      <c r="D164" s="7"/>
      <c r="E164" s="7"/>
      <c r="F164" s="7"/>
      <c r="G164" s="7"/>
      <c r="H164" s="7"/>
      <c r="I164" s="7"/>
      <c r="J164" s="7"/>
      <c r="K164" s="7"/>
      <c r="L164" s="7"/>
      <c r="M164" s="7"/>
      <c r="N164" s="7"/>
      <c r="O164" s="7"/>
      <c r="P164" s="7"/>
      <c r="Q164" s="7"/>
      <c r="R164" s="7"/>
      <c r="S164" s="7"/>
      <c r="T164" s="7"/>
      <c r="U164" s="7"/>
      <c r="V164" s="7"/>
      <c r="W164" s="7"/>
      <c r="X164" s="7"/>
      <c r="Y164" s="7"/>
    </row>
    <row r="165" spans="1:25" ht="15.75" customHeight="1">
      <c r="A165" s="7"/>
      <c r="B165" s="7"/>
      <c r="C165" s="29"/>
      <c r="D165" s="7"/>
      <c r="E165" s="7"/>
      <c r="F165" s="7"/>
      <c r="G165" s="7"/>
      <c r="H165" s="7"/>
      <c r="I165" s="7"/>
      <c r="J165" s="7"/>
      <c r="K165" s="7"/>
      <c r="L165" s="7"/>
      <c r="M165" s="7"/>
      <c r="N165" s="7"/>
      <c r="O165" s="7"/>
      <c r="P165" s="7"/>
      <c r="Q165" s="7"/>
      <c r="R165" s="7"/>
      <c r="S165" s="7"/>
      <c r="T165" s="7"/>
      <c r="U165" s="7"/>
      <c r="V165" s="7"/>
      <c r="W165" s="7"/>
      <c r="X165" s="7"/>
      <c r="Y165" s="7"/>
    </row>
    <row r="166" spans="1:25" ht="15.75" customHeight="1">
      <c r="A166" s="7"/>
      <c r="B166" s="7"/>
      <c r="C166" s="29"/>
      <c r="D166" s="7"/>
      <c r="E166" s="7"/>
      <c r="F166" s="7"/>
      <c r="G166" s="7"/>
      <c r="H166" s="7"/>
      <c r="I166" s="7"/>
      <c r="J166" s="7"/>
      <c r="K166" s="7"/>
      <c r="L166" s="7"/>
      <c r="M166" s="7"/>
      <c r="N166" s="7"/>
      <c r="O166" s="7"/>
      <c r="P166" s="7"/>
      <c r="Q166" s="7"/>
      <c r="R166" s="7"/>
      <c r="S166" s="7"/>
      <c r="T166" s="7"/>
      <c r="U166" s="7"/>
      <c r="V166" s="7"/>
      <c r="W166" s="7"/>
      <c r="X166" s="7"/>
      <c r="Y166" s="7"/>
    </row>
    <row r="167" spans="1:25" ht="15.75" customHeight="1">
      <c r="A167" s="7"/>
      <c r="B167" s="7"/>
      <c r="C167" s="29"/>
      <c r="D167" s="7"/>
      <c r="E167" s="7"/>
      <c r="F167" s="7"/>
      <c r="G167" s="7"/>
      <c r="H167" s="7"/>
      <c r="I167" s="7"/>
      <c r="J167" s="7"/>
      <c r="K167" s="7"/>
      <c r="L167" s="7"/>
      <c r="M167" s="7"/>
      <c r="N167" s="7"/>
      <c r="O167" s="7"/>
      <c r="P167" s="7"/>
      <c r="Q167" s="7"/>
      <c r="R167" s="7"/>
      <c r="S167" s="7"/>
      <c r="T167" s="7"/>
      <c r="U167" s="7"/>
      <c r="V167" s="7"/>
      <c r="W167" s="7"/>
      <c r="X167" s="7"/>
      <c r="Y167" s="7"/>
    </row>
    <row r="168" spans="1:25" ht="15.75" customHeight="1">
      <c r="A168" s="7"/>
      <c r="B168" s="7"/>
      <c r="C168" s="29"/>
      <c r="D168" s="7"/>
      <c r="E168" s="7"/>
      <c r="F168" s="7"/>
      <c r="G168" s="7"/>
      <c r="H168" s="7"/>
      <c r="I168" s="7"/>
      <c r="J168" s="7"/>
      <c r="K168" s="7"/>
      <c r="L168" s="7"/>
      <c r="M168" s="7"/>
      <c r="N168" s="7"/>
      <c r="O168" s="7"/>
      <c r="P168" s="7"/>
      <c r="Q168" s="7"/>
      <c r="R168" s="7"/>
      <c r="S168" s="7"/>
      <c r="T168" s="7"/>
      <c r="U168" s="7"/>
      <c r="V168" s="7"/>
      <c r="W168" s="7"/>
      <c r="X168" s="7"/>
      <c r="Y168" s="7"/>
    </row>
    <row r="169" spans="1:25" ht="15.75" customHeight="1">
      <c r="A169" s="7"/>
      <c r="B169" s="7"/>
      <c r="C169" s="29"/>
      <c r="D169" s="7"/>
      <c r="E169" s="7"/>
      <c r="F169" s="7"/>
      <c r="G169" s="7"/>
      <c r="H169" s="7"/>
      <c r="I169" s="7"/>
      <c r="J169" s="7"/>
      <c r="K169" s="7"/>
      <c r="L169" s="7"/>
      <c r="M169" s="7"/>
      <c r="N169" s="7"/>
      <c r="O169" s="7"/>
      <c r="P169" s="7"/>
      <c r="Q169" s="7"/>
      <c r="R169" s="7"/>
      <c r="S169" s="7"/>
      <c r="T169" s="7"/>
      <c r="U169" s="7"/>
      <c r="V169" s="7"/>
      <c r="W169" s="7"/>
      <c r="X169" s="7"/>
      <c r="Y169" s="7"/>
    </row>
    <row r="170" spans="1:25" ht="15.75" customHeight="1">
      <c r="A170" s="7"/>
      <c r="B170" s="7"/>
      <c r="C170" s="29"/>
      <c r="D170" s="7"/>
      <c r="E170" s="7"/>
      <c r="F170" s="7"/>
      <c r="G170" s="7"/>
      <c r="H170" s="7"/>
      <c r="I170" s="7"/>
      <c r="J170" s="7"/>
      <c r="K170" s="7"/>
      <c r="L170" s="7"/>
      <c r="M170" s="7"/>
      <c r="N170" s="7"/>
      <c r="O170" s="7"/>
      <c r="P170" s="7"/>
      <c r="Q170" s="7"/>
      <c r="R170" s="7"/>
      <c r="S170" s="7"/>
      <c r="T170" s="7"/>
      <c r="U170" s="7"/>
      <c r="V170" s="7"/>
      <c r="W170" s="7"/>
      <c r="X170" s="7"/>
      <c r="Y170" s="7"/>
    </row>
    <row r="171" spans="1:25" ht="15.75" customHeight="1">
      <c r="A171" s="7"/>
      <c r="B171" s="7"/>
      <c r="C171" s="29"/>
      <c r="D171" s="7"/>
      <c r="E171" s="7"/>
      <c r="F171" s="7"/>
      <c r="G171" s="7"/>
      <c r="H171" s="7"/>
      <c r="I171" s="7"/>
      <c r="J171" s="7"/>
      <c r="K171" s="7"/>
      <c r="L171" s="7"/>
      <c r="M171" s="7"/>
      <c r="N171" s="7"/>
      <c r="O171" s="7"/>
      <c r="P171" s="7"/>
      <c r="Q171" s="7"/>
      <c r="R171" s="7"/>
      <c r="S171" s="7"/>
      <c r="T171" s="7"/>
      <c r="U171" s="7"/>
      <c r="V171" s="7"/>
      <c r="W171" s="7"/>
      <c r="X171" s="7"/>
      <c r="Y171" s="7"/>
    </row>
    <row r="172" spans="1:25" ht="15.75" customHeight="1">
      <c r="A172" s="7"/>
      <c r="B172" s="7"/>
      <c r="C172" s="29"/>
      <c r="D172" s="7"/>
      <c r="E172" s="7"/>
      <c r="F172" s="7"/>
      <c r="G172" s="7"/>
      <c r="H172" s="7"/>
      <c r="I172" s="7"/>
      <c r="J172" s="7"/>
      <c r="K172" s="7"/>
      <c r="L172" s="7"/>
      <c r="M172" s="7"/>
      <c r="N172" s="7"/>
      <c r="O172" s="7"/>
      <c r="P172" s="7"/>
      <c r="Q172" s="7"/>
      <c r="R172" s="7"/>
      <c r="S172" s="7"/>
      <c r="T172" s="7"/>
      <c r="U172" s="7"/>
      <c r="V172" s="7"/>
      <c r="W172" s="7"/>
      <c r="X172" s="7"/>
      <c r="Y172" s="7"/>
    </row>
    <row r="173" spans="1:25" ht="15.75" customHeight="1">
      <c r="A173" s="7"/>
      <c r="B173" s="7"/>
      <c r="C173" s="29"/>
      <c r="D173" s="7"/>
      <c r="E173" s="7"/>
      <c r="F173" s="7"/>
      <c r="G173" s="7"/>
      <c r="H173" s="7"/>
      <c r="I173" s="7"/>
      <c r="J173" s="7"/>
      <c r="K173" s="7"/>
      <c r="L173" s="7"/>
      <c r="M173" s="7"/>
      <c r="N173" s="7"/>
      <c r="O173" s="7"/>
      <c r="P173" s="7"/>
      <c r="Q173" s="7"/>
      <c r="R173" s="7"/>
      <c r="S173" s="7"/>
      <c r="T173" s="7"/>
      <c r="U173" s="7"/>
      <c r="V173" s="7"/>
      <c r="W173" s="7"/>
      <c r="X173" s="7"/>
      <c r="Y173" s="7"/>
    </row>
    <row r="174" spans="1:25" ht="15.75" customHeight="1">
      <c r="A174" s="7"/>
      <c r="B174" s="7"/>
      <c r="C174" s="29"/>
      <c r="D174" s="7"/>
      <c r="E174" s="7"/>
      <c r="F174" s="7"/>
      <c r="G174" s="7"/>
      <c r="H174" s="7"/>
      <c r="I174" s="7"/>
      <c r="J174" s="7"/>
      <c r="K174" s="7"/>
      <c r="L174" s="7"/>
      <c r="M174" s="7"/>
      <c r="N174" s="7"/>
      <c r="O174" s="7"/>
      <c r="P174" s="7"/>
      <c r="Q174" s="7"/>
      <c r="R174" s="7"/>
      <c r="S174" s="7"/>
      <c r="T174" s="7"/>
      <c r="U174" s="7"/>
      <c r="V174" s="7"/>
      <c r="W174" s="7"/>
      <c r="X174" s="7"/>
      <c r="Y174" s="7"/>
    </row>
    <row r="175" spans="1:25" ht="15.75" customHeight="1">
      <c r="A175" s="7"/>
      <c r="B175" s="7"/>
      <c r="C175" s="29"/>
      <c r="D175" s="7"/>
      <c r="E175" s="7"/>
      <c r="F175" s="7"/>
      <c r="G175" s="7"/>
      <c r="H175" s="7"/>
      <c r="I175" s="7"/>
      <c r="J175" s="7"/>
      <c r="K175" s="7"/>
      <c r="L175" s="7"/>
      <c r="M175" s="7"/>
      <c r="N175" s="7"/>
      <c r="O175" s="7"/>
      <c r="P175" s="7"/>
      <c r="Q175" s="7"/>
      <c r="R175" s="7"/>
      <c r="S175" s="7"/>
      <c r="T175" s="7"/>
      <c r="U175" s="7"/>
      <c r="V175" s="7"/>
      <c r="W175" s="7"/>
      <c r="X175" s="7"/>
      <c r="Y175" s="7"/>
    </row>
    <row r="176" spans="1:25" ht="15.75" customHeight="1">
      <c r="A176" s="7"/>
      <c r="B176" s="7"/>
      <c r="C176" s="29"/>
      <c r="D176" s="7"/>
      <c r="E176" s="7"/>
      <c r="F176" s="7"/>
      <c r="G176" s="7"/>
      <c r="H176" s="7"/>
      <c r="I176" s="7"/>
      <c r="J176" s="7"/>
      <c r="K176" s="7"/>
      <c r="L176" s="7"/>
      <c r="M176" s="7"/>
      <c r="N176" s="7"/>
      <c r="O176" s="7"/>
      <c r="P176" s="7"/>
      <c r="Q176" s="7"/>
      <c r="R176" s="7"/>
      <c r="S176" s="7"/>
      <c r="T176" s="7"/>
      <c r="U176" s="7"/>
      <c r="V176" s="7"/>
      <c r="W176" s="7"/>
      <c r="X176" s="7"/>
      <c r="Y176" s="7"/>
    </row>
    <row r="177" spans="1:25" ht="15.75" customHeight="1">
      <c r="A177" s="7"/>
      <c r="B177" s="7"/>
      <c r="C177" s="29"/>
      <c r="D177" s="7"/>
      <c r="E177" s="7"/>
      <c r="F177" s="7"/>
      <c r="G177" s="7"/>
      <c r="H177" s="7"/>
      <c r="I177" s="7"/>
      <c r="J177" s="7"/>
      <c r="K177" s="7"/>
      <c r="L177" s="7"/>
      <c r="M177" s="7"/>
      <c r="N177" s="7"/>
      <c r="O177" s="7"/>
      <c r="P177" s="7"/>
      <c r="Q177" s="7"/>
      <c r="R177" s="7"/>
      <c r="S177" s="7"/>
      <c r="T177" s="7"/>
      <c r="U177" s="7"/>
      <c r="V177" s="7"/>
      <c r="W177" s="7"/>
      <c r="X177" s="7"/>
      <c r="Y177" s="7"/>
    </row>
    <row r="178" spans="1:25" ht="15.75" customHeight="1">
      <c r="A178" s="7"/>
      <c r="B178" s="7"/>
      <c r="C178" s="29"/>
      <c r="D178" s="7"/>
      <c r="E178" s="7"/>
      <c r="F178" s="7"/>
      <c r="G178" s="7"/>
      <c r="H178" s="7"/>
      <c r="I178" s="7"/>
      <c r="J178" s="7"/>
      <c r="K178" s="7"/>
      <c r="L178" s="7"/>
      <c r="M178" s="7"/>
      <c r="N178" s="7"/>
      <c r="O178" s="7"/>
      <c r="P178" s="7"/>
      <c r="Q178" s="7"/>
      <c r="R178" s="7"/>
      <c r="S178" s="7"/>
      <c r="T178" s="7"/>
      <c r="U178" s="7"/>
      <c r="V178" s="7"/>
      <c r="W178" s="7"/>
      <c r="X178" s="7"/>
      <c r="Y178" s="7"/>
    </row>
    <row r="179" spans="1:25" ht="15.75" customHeight="1">
      <c r="A179" s="7"/>
      <c r="B179" s="7"/>
      <c r="C179" s="29"/>
      <c r="D179" s="7"/>
      <c r="E179" s="7"/>
      <c r="F179" s="7"/>
      <c r="G179" s="7"/>
      <c r="H179" s="7"/>
      <c r="I179" s="7"/>
      <c r="J179" s="7"/>
      <c r="K179" s="7"/>
      <c r="L179" s="7"/>
      <c r="M179" s="7"/>
      <c r="N179" s="7"/>
      <c r="O179" s="7"/>
      <c r="P179" s="7"/>
      <c r="Q179" s="7"/>
      <c r="R179" s="7"/>
      <c r="S179" s="7"/>
      <c r="T179" s="7"/>
      <c r="U179" s="7"/>
      <c r="V179" s="7"/>
      <c r="W179" s="7"/>
      <c r="X179" s="7"/>
      <c r="Y179" s="7"/>
    </row>
    <row r="180" spans="1:25" ht="15.75" customHeight="1">
      <c r="A180" s="7"/>
      <c r="B180" s="7"/>
      <c r="C180" s="29"/>
      <c r="D180" s="7"/>
      <c r="E180" s="7"/>
      <c r="F180" s="7"/>
      <c r="G180" s="7"/>
      <c r="H180" s="7"/>
      <c r="I180" s="7"/>
      <c r="J180" s="7"/>
      <c r="K180" s="7"/>
      <c r="L180" s="7"/>
      <c r="M180" s="7"/>
      <c r="N180" s="7"/>
      <c r="O180" s="7"/>
      <c r="P180" s="7"/>
      <c r="Q180" s="7"/>
      <c r="R180" s="7"/>
      <c r="S180" s="7"/>
      <c r="T180" s="7"/>
      <c r="U180" s="7"/>
      <c r="V180" s="7"/>
      <c r="W180" s="7"/>
      <c r="X180" s="7"/>
      <c r="Y180" s="7"/>
    </row>
    <row r="181" spans="1:25" ht="15.75" customHeight="1">
      <c r="A181" s="7"/>
      <c r="B181" s="7"/>
      <c r="C181" s="29"/>
      <c r="D181" s="7"/>
      <c r="E181" s="7"/>
      <c r="F181" s="7"/>
      <c r="G181" s="7"/>
      <c r="H181" s="7"/>
      <c r="I181" s="7"/>
      <c r="J181" s="7"/>
      <c r="K181" s="7"/>
      <c r="L181" s="7"/>
      <c r="M181" s="7"/>
      <c r="N181" s="7"/>
      <c r="O181" s="7"/>
      <c r="P181" s="7"/>
      <c r="Q181" s="7"/>
      <c r="R181" s="7"/>
      <c r="S181" s="7"/>
      <c r="T181" s="7"/>
      <c r="U181" s="7"/>
      <c r="V181" s="7"/>
      <c r="W181" s="7"/>
      <c r="X181" s="7"/>
      <c r="Y181" s="7"/>
    </row>
    <row r="182" spans="1:25" ht="15.75" customHeight="1">
      <c r="A182" s="7"/>
      <c r="B182" s="7"/>
      <c r="C182" s="29"/>
      <c r="D182" s="7"/>
      <c r="E182" s="7"/>
      <c r="F182" s="7"/>
      <c r="G182" s="7"/>
      <c r="H182" s="7"/>
      <c r="I182" s="7"/>
      <c r="J182" s="7"/>
      <c r="K182" s="7"/>
      <c r="L182" s="7"/>
      <c r="M182" s="7"/>
      <c r="N182" s="7"/>
      <c r="O182" s="7"/>
      <c r="P182" s="7"/>
      <c r="Q182" s="7"/>
      <c r="R182" s="7"/>
      <c r="S182" s="7"/>
      <c r="T182" s="7"/>
      <c r="U182" s="7"/>
      <c r="V182" s="7"/>
      <c r="W182" s="7"/>
      <c r="X182" s="7"/>
      <c r="Y182" s="7"/>
    </row>
    <row r="183" spans="1:25" ht="15.75" customHeight="1">
      <c r="A183" s="7"/>
      <c r="B183" s="7"/>
      <c r="C183" s="29"/>
      <c r="D183" s="7"/>
      <c r="E183" s="7"/>
      <c r="F183" s="7"/>
      <c r="G183" s="7"/>
      <c r="H183" s="7"/>
      <c r="I183" s="7"/>
      <c r="J183" s="7"/>
      <c r="K183" s="7"/>
      <c r="L183" s="7"/>
      <c r="M183" s="7"/>
      <c r="N183" s="7"/>
      <c r="O183" s="7"/>
      <c r="P183" s="7"/>
      <c r="Q183" s="7"/>
      <c r="R183" s="7"/>
      <c r="S183" s="7"/>
      <c r="T183" s="7"/>
      <c r="U183" s="7"/>
      <c r="V183" s="7"/>
      <c r="W183" s="7"/>
      <c r="X183" s="7"/>
      <c r="Y183" s="7"/>
    </row>
    <row r="184" spans="1:25" ht="15.75" customHeight="1">
      <c r="A184" s="7"/>
      <c r="B184" s="7"/>
      <c r="C184" s="29"/>
      <c r="D184" s="7"/>
      <c r="E184" s="7"/>
      <c r="F184" s="7"/>
      <c r="G184" s="7"/>
      <c r="H184" s="7"/>
      <c r="I184" s="7"/>
      <c r="J184" s="7"/>
      <c r="K184" s="7"/>
      <c r="L184" s="7"/>
      <c r="M184" s="7"/>
      <c r="N184" s="7"/>
      <c r="O184" s="7"/>
      <c r="P184" s="7"/>
      <c r="Q184" s="7"/>
      <c r="R184" s="7"/>
      <c r="S184" s="7"/>
      <c r="T184" s="7"/>
      <c r="U184" s="7"/>
      <c r="V184" s="7"/>
      <c r="W184" s="7"/>
      <c r="X184" s="7"/>
      <c r="Y184" s="7"/>
    </row>
    <row r="185" spans="1:25" ht="15.75" customHeight="1">
      <c r="A185" s="7"/>
      <c r="B185" s="7"/>
      <c r="C185" s="29"/>
      <c r="D185" s="7"/>
      <c r="E185" s="7"/>
      <c r="F185" s="7"/>
      <c r="G185" s="7"/>
      <c r="H185" s="7"/>
      <c r="I185" s="7"/>
      <c r="J185" s="7"/>
      <c r="K185" s="7"/>
      <c r="L185" s="7"/>
      <c r="M185" s="7"/>
      <c r="N185" s="7"/>
      <c r="O185" s="7"/>
      <c r="P185" s="7"/>
      <c r="Q185" s="7"/>
      <c r="R185" s="7"/>
      <c r="S185" s="7"/>
      <c r="T185" s="7"/>
      <c r="U185" s="7"/>
      <c r="V185" s="7"/>
      <c r="W185" s="7"/>
      <c r="X185" s="7"/>
      <c r="Y185" s="7"/>
    </row>
    <row r="186" spans="1:25" ht="15.75" customHeight="1">
      <c r="A186" s="7"/>
      <c r="B186" s="7"/>
      <c r="C186" s="29"/>
      <c r="D186" s="7"/>
      <c r="E186" s="7"/>
      <c r="F186" s="7"/>
      <c r="G186" s="7"/>
      <c r="H186" s="7"/>
      <c r="I186" s="7"/>
      <c r="J186" s="7"/>
      <c r="K186" s="7"/>
      <c r="L186" s="7"/>
      <c r="M186" s="7"/>
      <c r="N186" s="7"/>
      <c r="O186" s="7"/>
      <c r="P186" s="7"/>
      <c r="Q186" s="7"/>
      <c r="R186" s="7"/>
      <c r="S186" s="7"/>
      <c r="T186" s="7"/>
      <c r="U186" s="7"/>
      <c r="V186" s="7"/>
      <c r="W186" s="7"/>
      <c r="X186" s="7"/>
      <c r="Y186" s="7"/>
    </row>
    <row r="187" spans="1:25" ht="15.75" customHeight="1">
      <c r="A187" s="7"/>
      <c r="B187" s="7"/>
      <c r="C187" s="29"/>
      <c r="D187" s="7"/>
      <c r="E187" s="7"/>
      <c r="F187" s="7"/>
      <c r="G187" s="7"/>
      <c r="H187" s="7"/>
      <c r="I187" s="7"/>
      <c r="J187" s="7"/>
      <c r="K187" s="7"/>
      <c r="L187" s="7"/>
      <c r="M187" s="7"/>
      <c r="N187" s="7"/>
      <c r="O187" s="7"/>
      <c r="P187" s="7"/>
      <c r="Q187" s="7"/>
      <c r="R187" s="7"/>
      <c r="S187" s="7"/>
      <c r="T187" s="7"/>
      <c r="U187" s="7"/>
      <c r="V187" s="7"/>
      <c r="W187" s="7"/>
      <c r="X187" s="7"/>
      <c r="Y187" s="7"/>
    </row>
    <row r="188" spans="1:25" ht="15.75" customHeight="1">
      <c r="A188" s="7"/>
      <c r="B188" s="7"/>
      <c r="C188" s="29"/>
      <c r="D188" s="7"/>
      <c r="E188" s="7"/>
      <c r="F188" s="7"/>
      <c r="G188" s="7"/>
      <c r="H188" s="7"/>
      <c r="I188" s="7"/>
      <c r="J188" s="7"/>
      <c r="K188" s="7"/>
      <c r="L188" s="7"/>
      <c r="M188" s="7"/>
      <c r="N188" s="7"/>
      <c r="O188" s="7"/>
      <c r="P188" s="7"/>
      <c r="Q188" s="7"/>
      <c r="R188" s="7"/>
      <c r="S188" s="7"/>
      <c r="T188" s="7"/>
      <c r="U188" s="7"/>
      <c r="V188" s="7"/>
      <c r="W188" s="7"/>
      <c r="X188" s="7"/>
      <c r="Y188" s="7"/>
    </row>
    <row r="189" spans="1:25" ht="15.75" customHeight="1">
      <c r="A189" s="7"/>
      <c r="B189" s="7"/>
      <c r="C189" s="29"/>
      <c r="D189" s="7"/>
      <c r="E189" s="7"/>
      <c r="F189" s="7"/>
      <c r="G189" s="7"/>
      <c r="H189" s="7"/>
      <c r="I189" s="7"/>
      <c r="J189" s="7"/>
      <c r="K189" s="7"/>
      <c r="L189" s="7"/>
      <c r="M189" s="7"/>
      <c r="N189" s="7"/>
      <c r="O189" s="7"/>
      <c r="P189" s="7"/>
      <c r="Q189" s="7"/>
      <c r="R189" s="7"/>
      <c r="S189" s="7"/>
      <c r="T189" s="7"/>
      <c r="U189" s="7"/>
      <c r="V189" s="7"/>
      <c r="W189" s="7"/>
      <c r="X189" s="7"/>
      <c r="Y189" s="7"/>
    </row>
    <row r="190" spans="1:25" ht="15.75" customHeight="1">
      <c r="A190" s="7"/>
      <c r="B190" s="7"/>
      <c r="C190" s="29"/>
      <c r="D190" s="7"/>
      <c r="E190" s="7"/>
      <c r="F190" s="7"/>
      <c r="G190" s="7"/>
      <c r="H190" s="7"/>
      <c r="I190" s="7"/>
      <c r="J190" s="7"/>
      <c r="K190" s="7"/>
      <c r="L190" s="7"/>
      <c r="M190" s="7"/>
      <c r="N190" s="7"/>
      <c r="O190" s="7"/>
      <c r="P190" s="7"/>
      <c r="Q190" s="7"/>
      <c r="R190" s="7"/>
      <c r="S190" s="7"/>
      <c r="T190" s="7"/>
      <c r="U190" s="7"/>
      <c r="V190" s="7"/>
      <c r="W190" s="7"/>
      <c r="X190" s="7"/>
      <c r="Y190" s="7"/>
    </row>
    <row r="191" spans="1:25" ht="15.75" customHeight="1">
      <c r="A191" s="7"/>
      <c r="B191" s="7"/>
      <c r="C191" s="29"/>
      <c r="D191" s="7"/>
      <c r="E191" s="7"/>
      <c r="F191" s="7"/>
      <c r="G191" s="7"/>
      <c r="H191" s="7"/>
      <c r="I191" s="7"/>
      <c r="J191" s="7"/>
      <c r="K191" s="7"/>
      <c r="L191" s="7"/>
      <c r="M191" s="7"/>
      <c r="N191" s="7"/>
      <c r="O191" s="7"/>
      <c r="P191" s="7"/>
      <c r="Q191" s="7"/>
      <c r="R191" s="7"/>
      <c r="S191" s="7"/>
      <c r="T191" s="7"/>
      <c r="U191" s="7"/>
      <c r="V191" s="7"/>
      <c r="W191" s="7"/>
      <c r="X191" s="7"/>
      <c r="Y191" s="7"/>
    </row>
    <row r="192" spans="1:25" ht="15.75" customHeight="1">
      <c r="A192" s="7"/>
      <c r="B192" s="7"/>
      <c r="C192" s="29"/>
      <c r="D192" s="7"/>
      <c r="E192" s="7"/>
      <c r="F192" s="7"/>
      <c r="G192" s="7"/>
      <c r="H192" s="7"/>
      <c r="I192" s="7"/>
      <c r="J192" s="7"/>
      <c r="K192" s="7"/>
      <c r="L192" s="7"/>
      <c r="M192" s="7"/>
      <c r="N192" s="7"/>
      <c r="O192" s="7"/>
      <c r="P192" s="7"/>
      <c r="Q192" s="7"/>
      <c r="R192" s="7"/>
      <c r="S192" s="7"/>
      <c r="T192" s="7"/>
      <c r="U192" s="7"/>
      <c r="V192" s="7"/>
      <c r="W192" s="7"/>
      <c r="X192" s="7"/>
      <c r="Y192" s="7"/>
    </row>
    <row r="193" spans="1:25" ht="15.75" customHeight="1">
      <c r="A193" s="7"/>
      <c r="B193" s="7"/>
      <c r="C193" s="29"/>
      <c r="D193" s="7"/>
      <c r="E193" s="7"/>
      <c r="F193" s="7"/>
      <c r="G193" s="7"/>
      <c r="H193" s="7"/>
      <c r="I193" s="7"/>
      <c r="J193" s="7"/>
      <c r="K193" s="7"/>
      <c r="L193" s="7"/>
      <c r="M193" s="7"/>
      <c r="N193" s="7"/>
      <c r="O193" s="7"/>
      <c r="P193" s="7"/>
      <c r="Q193" s="7"/>
      <c r="R193" s="7"/>
      <c r="S193" s="7"/>
      <c r="T193" s="7"/>
      <c r="U193" s="7"/>
      <c r="V193" s="7"/>
      <c r="W193" s="7"/>
      <c r="X193" s="7"/>
      <c r="Y193" s="7"/>
    </row>
    <row r="194" spans="1:25" ht="15.75" customHeight="1">
      <c r="A194" s="7"/>
      <c r="B194" s="7"/>
      <c r="C194" s="29"/>
      <c r="D194" s="7"/>
      <c r="E194" s="7"/>
      <c r="F194" s="7"/>
      <c r="G194" s="7"/>
      <c r="H194" s="7"/>
      <c r="I194" s="7"/>
      <c r="J194" s="7"/>
      <c r="K194" s="7"/>
      <c r="L194" s="7"/>
      <c r="M194" s="7"/>
      <c r="N194" s="7"/>
      <c r="O194" s="7"/>
      <c r="P194" s="7"/>
      <c r="Q194" s="7"/>
      <c r="R194" s="7"/>
      <c r="S194" s="7"/>
      <c r="T194" s="7"/>
      <c r="U194" s="7"/>
      <c r="V194" s="7"/>
      <c r="W194" s="7"/>
      <c r="X194" s="7"/>
      <c r="Y194" s="7"/>
    </row>
    <row r="195" spans="1:25" ht="15.75" customHeight="1">
      <c r="A195" s="7"/>
      <c r="B195" s="7"/>
      <c r="C195" s="29"/>
      <c r="D195" s="7"/>
      <c r="E195" s="7"/>
      <c r="F195" s="7"/>
      <c r="G195" s="7"/>
      <c r="H195" s="7"/>
      <c r="I195" s="7"/>
      <c r="J195" s="7"/>
      <c r="K195" s="7"/>
      <c r="L195" s="7"/>
      <c r="M195" s="7"/>
      <c r="N195" s="7"/>
      <c r="O195" s="7"/>
      <c r="P195" s="7"/>
      <c r="Q195" s="7"/>
      <c r="R195" s="7"/>
      <c r="S195" s="7"/>
      <c r="T195" s="7"/>
      <c r="U195" s="7"/>
      <c r="V195" s="7"/>
      <c r="W195" s="7"/>
      <c r="X195" s="7"/>
      <c r="Y195" s="7"/>
    </row>
    <row r="196" spans="1:25" ht="15.75" customHeight="1">
      <c r="A196" s="7"/>
      <c r="B196" s="7"/>
      <c r="C196" s="29"/>
      <c r="D196" s="7"/>
      <c r="E196" s="7"/>
      <c r="F196" s="7"/>
      <c r="G196" s="7"/>
      <c r="H196" s="7"/>
      <c r="I196" s="7"/>
      <c r="J196" s="7"/>
      <c r="K196" s="7"/>
      <c r="L196" s="7"/>
      <c r="M196" s="7"/>
      <c r="N196" s="7"/>
      <c r="O196" s="7"/>
      <c r="P196" s="7"/>
      <c r="Q196" s="7"/>
      <c r="R196" s="7"/>
      <c r="S196" s="7"/>
      <c r="T196" s="7"/>
      <c r="U196" s="7"/>
      <c r="V196" s="7"/>
      <c r="W196" s="7"/>
      <c r="X196" s="7"/>
      <c r="Y196" s="7"/>
    </row>
    <row r="197" spans="1:25" ht="15.75" customHeight="1">
      <c r="A197" s="7"/>
      <c r="B197" s="7"/>
      <c r="C197" s="29"/>
      <c r="D197" s="7"/>
      <c r="E197" s="7"/>
      <c r="F197" s="7"/>
      <c r="G197" s="7"/>
      <c r="H197" s="7"/>
      <c r="I197" s="7"/>
      <c r="J197" s="7"/>
      <c r="K197" s="7"/>
      <c r="L197" s="7"/>
      <c r="M197" s="7"/>
      <c r="N197" s="7"/>
      <c r="O197" s="7"/>
      <c r="P197" s="7"/>
      <c r="Q197" s="7"/>
      <c r="R197" s="7"/>
      <c r="S197" s="7"/>
      <c r="T197" s="7"/>
      <c r="U197" s="7"/>
      <c r="V197" s="7"/>
      <c r="W197" s="7"/>
      <c r="X197" s="7"/>
      <c r="Y197" s="7"/>
    </row>
    <row r="198" spans="1:25" ht="15.75" customHeight="1">
      <c r="A198" s="7"/>
      <c r="B198" s="7"/>
      <c r="C198" s="29"/>
      <c r="D198" s="7"/>
      <c r="E198" s="7"/>
      <c r="F198" s="7"/>
      <c r="G198" s="7"/>
      <c r="H198" s="7"/>
      <c r="I198" s="7"/>
      <c r="J198" s="7"/>
      <c r="K198" s="7"/>
      <c r="L198" s="7"/>
      <c r="M198" s="7"/>
      <c r="N198" s="7"/>
      <c r="O198" s="7"/>
      <c r="P198" s="7"/>
      <c r="Q198" s="7"/>
      <c r="R198" s="7"/>
      <c r="S198" s="7"/>
      <c r="T198" s="7"/>
      <c r="U198" s="7"/>
      <c r="V198" s="7"/>
      <c r="W198" s="7"/>
      <c r="X198" s="7"/>
      <c r="Y198" s="7"/>
    </row>
    <row r="199" spans="1:25" ht="15.75" customHeight="1">
      <c r="A199" s="7"/>
      <c r="B199" s="7"/>
      <c r="C199" s="29"/>
      <c r="D199" s="7"/>
      <c r="E199" s="7"/>
      <c r="F199" s="7"/>
      <c r="G199" s="7"/>
      <c r="H199" s="7"/>
      <c r="I199" s="7"/>
      <c r="J199" s="7"/>
      <c r="K199" s="7"/>
      <c r="L199" s="7"/>
      <c r="M199" s="7"/>
      <c r="N199" s="7"/>
      <c r="O199" s="7"/>
      <c r="P199" s="7"/>
      <c r="Q199" s="7"/>
      <c r="R199" s="7"/>
      <c r="S199" s="7"/>
      <c r="T199" s="7"/>
      <c r="U199" s="7"/>
      <c r="V199" s="7"/>
      <c r="W199" s="7"/>
      <c r="X199" s="7"/>
      <c r="Y199" s="7"/>
    </row>
    <row r="200" spans="1:25" ht="15.75" customHeight="1">
      <c r="A200" s="7"/>
      <c r="B200" s="7"/>
      <c r="C200" s="29"/>
      <c r="D200" s="7"/>
      <c r="E200" s="7"/>
      <c r="F200" s="7"/>
      <c r="G200" s="7"/>
      <c r="H200" s="7"/>
      <c r="I200" s="7"/>
      <c r="J200" s="7"/>
      <c r="K200" s="7"/>
      <c r="L200" s="7"/>
      <c r="M200" s="7"/>
      <c r="N200" s="7"/>
      <c r="O200" s="7"/>
      <c r="P200" s="7"/>
      <c r="Q200" s="7"/>
      <c r="R200" s="7"/>
      <c r="S200" s="7"/>
      <c r="T200" s="7"/>
      <c r="U200" s="7"/>
      <c r="V200" s="7"/>
      <c r="W200" s="7"/>
      <c r="X200" s="7"/>
      <c r="Y200" s="7"/>
    </row>
    <row r="201" spans="1:25" ht="15.75" customHeight="1">
      <c r="A201" s="7"/>
      <c r="B201" s="7"/>
      <c r="C201" s="29"/>
      <c r="D201" s="7"/>
      <c r="E201" s="7"/>
      <c r="F201" s="7"/>
      <c r="G201" s="7"/>
      <c r="H201" s="7"/>
      <c r="I201" s="7"/>
      <c r="J201" s="7"/>
      <c r="K201" s="7"/>
      <c r="L201" s="7"/>
      <c r="M201" s="7"/>
      <c r="N201" s="7"/>
      <c r="O201" s="7"/>
      <c r="P201" s="7"/>
      <c r="Q201" s="7"/>
      <c r="R201" s="7"/>
      <c r="S201" s="7"/>
      <c r="T201" s="7"/>
      <c r="U201" s="7"/>
      <c r="V201" s="7"/>
      <c r="W201" s="7"/>
      <c r="X201" s="7"/>
      <c r="Y201" s="7"/>
    </row>
    <row r="202" spans="1:25" ht="15.75" customHeight="1">
      <c r="A202" s="7"/>
      <c r="B202" s="7"/>
      <c r="C202" s="29"/>
      <c r="D202" s="7"/>
      <c r="E202" s="7"/>
      <c r="F202" s="7"/>
      <c r="G202" s="7"/>
      <c r="H202" s="7"/>
      <c r="I202" s="7"/>
      <c r="J202" s="7"/>
      <c r="K202" s="7"/>
      <c r="L202" s="7"/>
      <c r="M202" s="7"/>
      <c r="N202" s="7"/>
      <c r="O202" s="7"/>
      <c r="P202" s="7"/>
      <c r="Q202" s="7"/>
      <c r="R202" s="7"/>
      <c r="S202" s="7"/>
      <c r="T202" s="7"/>
      <c r="U202" s="7"/>
      <c r="V202" s="7"/>
      <c r="W202" s="7"/>
      <c r="X202" s="7"/>
      <c r="Y202" s="7"/>
    </row>
    <row r="203" spans="1:25" ht="15.75" customHeight="1">
      <c r="A203" s="7"/>
      <c r="B203" s="7"/>
      <c r="C203" s="29"/>
      <c r="D203" s="7"/>
      <c r="E203" s="7"/>
      <c r="F203" s="7"/>
      <c r="G203" s="7"/>
      <c r="H203" s="7"/>
      <c r="I203" s="7"/>
      <c r="J203" s="7"/>
      <c r="K203" s="7"/>
      <c r="L203" s="7"/>
      <c r="M203" s="7"/>
      <c r="N203" s="7"/>
      <c r="O203" s="7"/>
      <c r="P203" s="7"/>
      <c r="Q203" s="7"/>
      <c r="R203" s="7"/>
      <c r="S203" s="7"/>
      <c r="T203" s="7"/>
      <c r="U203" s="7"/>
      <c r="V203" s="7"/>
      <c r="W203" s="7"/>
      <c r="X203" s="7"/>
      <c r="Y203" s="7"/>
    </row>
    <row r="204" spans="1:25" ht="15.75" customHeight="1">
      <c r="A204" s="7"/>
      <c r="B204" s="7"/>
      <c r="C204" s="29"/>
      <c r="D204" s="7"/>
      <c r="E204" s="7"/>
      <c r="F204" s="7"/>
      <c r="G204" s="7"/>
      <c r="H204" s="7"/>
      <c r="I204" s="7"/>
      <c r="J204" s="7"/>
      <c r="K204" s="7"/>
      <c r="L204" s="7"/>
      <c r="M204" s="7"/>
      <c r="N204" s="7"/>
      <c r="O204" s="7"/>
      <c r="P204" s="7"/>
      <c r="Q204" s="7"/>
      <c r="R204" s="7"/>
      <c r="S204" s="7"/>
      <c r="T204" s="7"/>
      <c r="U204" s="7"/>
      <c r="V204" s="7"/>
      <c r="W204" s="7"/>
      <c r="X204" s="7"/>
      <c r="Y204" s="7"/>
    </row>
    <row r="205" spans="1:25" ht="15.75" customHeight="1">
      <c r="A205" s="7"/>
      <c r="B205" s="7"/>
      <c r="C205" s="29"/>
      <c r="D205" s="7"/>
      <c r="E205" s="7"/>
      <c r="F205" s="7"/>
      <c r="G205" s="7"/>
      <c r="H205" s="7"/>
      <c r="I205" s="7"/>
      <c r="J205" s="7"/>
      <c r="K205" s="7"/>
      <c r="L205" s="7"/>
      <c r="M205" s="7"/>
      <c r="N205" s="7"/>
      <c r="O205" s="7"/>
      <c r="P205" s="7"/>
      <c r="Q205" s="7"/>
      <c r="R205" s="7"/>
      <c r="S205" s="7"/>
      <c r="T205" s="7"/>
      <c r="U205" s="7"/>
      <c r="V205" s="7"/>
      <c r="W205" s="7"/>
      <c r="X205" s="7"/>
      <c r="Y205" s="7"/>
    </row>
    <row r="206" spans="1:25" ht="15.75" customHeight="1">
      <c r="A206" s="7"/>
      <c r="B206" s="7"/>
      <c r="C206" s="29"/>
      <c r="D206" s="7"/>
      <c r="E206" s="7"/>
      <c r="F206" s="7"/>
      <c r="G206" s="7"/>
      <c r="H206" s="7"/>
      <c r="I206" s="7"/>
      <c r="J206" s="7"/>
      <c r="K206" s="7"/>
      <c r="L206" s="7"/>
      <c r="M206" s="7"/>
      <c r="N206" s="7"/>
      <c r="O206" s="7"/>
      <c r="P206" s="7"/>
      <c r="Q206" s="7"/>
      <c r="R206" s="7"/>
      <c r="S206" s="7"/>
      <c r="T206" s="7"/>
      <c r="U206" s="7"/>
      <c r="V206" s="7"/>
      <c r="W206" s="7"/>
      <c r="X206" s="7"/>
      <c r="Y206" s="7"/>
    </row>
    <row r="207" spans="1:25" ht="15.75" customHeight="1">
      <c r="A207" s="7"/>
      <c r="B207" s="7"/>
      <c r="C207" s="29"/>
      <c r="D207" s="7"/>
      <c r="E207" s="7"/>
      <c r="F207" s="7"/>
      <c r="G207" s="7"/>
      <c r="H207" s="7"/>
      <c r="I207" s="7"/>
      <c r="J207" s="7"/>
      <c r="K207" s="7"/>
      <c r="L207" s="7"/>
      <c r="M207" s="7"/>
      <c r="N207" s="7"/>
      <c r="O207" s="7"/>
      <c r="P207" s="7"/>
      <c r="Q207" s="7"/>
      <c r="R207" s="7"/>
      <c r="S207" s="7"/>
      <c r="T207" s="7"/>
      <c r="U207" s="7"/>
      <c r="V207" s="7"/>
      <c r="W207" s="7"/>
      <c r="X207" s="7"/>
      <c r="Y207" s="7"/>
    </row>
    <row r="208" spans="1:25" ht="15.75" customHeight="1">
      <c r="A208" s="7"/>
      <c r="B208" s="7"/>
      <c r="C208" s="29"/>
      <c r="D208" s="7"/>
      <c r="E208" s="7"/>
      <c r="F208" s="7"/>
      <c r="G208" s="7"/>
      <c r="H208" s="7"/>
      <c r="I208" s="7"/>
      <c r="J208" s="7"/>
      <c r="K208" s="7"/>
      <c r="L208" s="7"/>
      <c r="M208" s="7"/>
      <c r="N208" s="7"/>
      <c r="O208" s="7"/>
      <c r="P208" s="7"/>
      <c r="Q208" s="7"/>
      <c r="R208" s="7"/>
      <c r="S208" s="7"/>
      <c r="T208" s="7"/>
      <c r="U208" s="7"/>
      <c r="V208" s="7"/>
      <c r="W208" s="7"/>
      <c r="X208" s="7"/>
      <c r="Y208" s="7"/>
    </row>
    <row r="209" spans="1:25" ht="15.75" customHeight="1">
      <c r="A209" s="7"/>
      <c r="B209" s="7"/>
      <c r="C209" s="29"/>
      <c r="D209" s="7"/>
      <c r="E209" s="7"/>
      <c r="F209" s="7"/>
      <c r="G209" s="7"/>
      <c r="H209" s="7"/>
      <c r="I209" s="7"/>
      <c r="J209" s="7"/>
      <c r="K209" s="7"/>
      <c r="L209" s="7"/>
      <c r="M209" s="7"/>
      <c r="N209" s="7"/>
      <c r="O209" s="7"/>
      <c r="P209" s="7"/>
      <c r="Q209" s="7"/>
      <c r="R209" s="7"/>
      <c r="S209" s="7"/>
      <c r="T209" s="7"/>
      <c r="U209" s="7"/>
      <c r="V209" s="7"/>
      <c r="W209" s="7"/>
      <c r="X209" s="7"/>
      <c r="Y209" s="7"/>
    </row>
    <row r="210" spans="1:25" ht="15.75" customHeight="1">
      <c r="A210" s="7"/>
      <c r="B210" s="7"/>
      <c r="C210" s="29"/>
      <c r="D210" s="7"/>
      <c r="E210" s="7"/>
      <c r="F210" s="7"/>
      <c r="G210" s="7"/>
      <c r="H210" s="7"/>
      <c r="I210" s="7"/>
      <c r="J210" s="7"/>
      <c r="K210" s="7"/>
      <c r="L210" s="7"/>
      <c r="M210" s="7"/>
      <c r="N210" s="7"/>
      <c r="O210" s="7"/>
      <c r="P210" s="7"/>
      <c r="Q210" s="7"/>
      <c r="R210" s="7"/>
      <c r="S210" s="7"/>
      <c r="T210" s="7"/>
      <c r="U210" s="7"/>
      <c r="V210" s="7"/>
      <c r="W210" s="7"/>
      <c r="X210" s="7"/>
      <c r="Y210" s="7"/>
    </row>
    <row r="211" spans="1:25" ht="15.75" customHeight="1">
      <c r="A211" s="7"/>
      <c r="B211" s="7"/>
      <c r="C211" s="29"/>
      <c r="D211" s="7"/>
      <c r="E211" s="7"/>
      <c r="F211" s="7"/>
      <c r="G211" s="7"/>
      <c r="H211" s="7"/>
      <c r="I211" s="7"/>
      <c r="J211" s="7"/>
      <c r="K211" s="7"/>
      <c r="L211" s="7"/>
      <c r="M211" s="7"/>
      <c r="N211" s="7"/>
      <c r="O211" s="7"/>
      <c r="P211" s="7"/>
      <c r="Q211" s="7"/>
      <c r="R211" s="7"/>
      <c r="S211" s="7"/>
      <c r="T211" s="7"/>
      <c r="U211" s="7"/>
      <c r="V211" s="7"/>
      <c r="W211" s="7"/>
      <c r="X211" s="7"/>
      <c r="Y211" s="7"/>
    </row>
    <row r="212" spans="1:25" ht="15.75" customHeight="1">
      <c r="A212" s="7"/>
      <c r="B212" s="7"/>
      <c r="C212" s="29"/>
      <c r="D212" s="7"/>
      <c r="E212" s="7"/>
      <c r="F212" s="7"/>
      <c r="G212" s="7"/>
      <c r="H212" s="7"/>
      <c r="I212" s="7"/>
      <c r="J212" s="7"/>
      <c r="K212" s="7"/>
      <c r="L212" s="7"/>
      <c r="M212" s="7"/>
      <c r="N212" s="7"/>
      <c r="O212" s="7"/>
      <c r="P212" s="7"/>
      <c r="Q212" s="7"/>
      <c r="R212" s="7"/>
      <c r="S212" s="7"/>
      <c r="T212" s="7"/>
      <c r="U212" s="7"/>
      <c r="V212" s="7"/>
      <c r="W212" s="7"/>
      <c r="X212" s="7"/>
      <c r="Y212" s="7"/>
    </row>
    <row r="213" spans="1:25" ht="15.75" customHeight="1">
      <c r="A213" s="7"/>
      <c r="B213" s="7"/>
      <c r="C213" s="29"/>
      <c r="D213" s="7"/>
      <c r="E213" s="7"/>
      <c r="F213" s="7"/>
      <c r="G213" s="7"/>
      <c r="H213" s="7"/>
      <c r="I213" s="7"/>
      <c r="J213" s="7"/>
      <c r="K213" s="7"/>
      <c r="L213" s="7"/>
      <c r="M213" s="7"/>
      <c r="N213" s="7"/>
      <c r="O213" s="7"/>
      <c r="P213" s="7"/>
      <c r="Q213" s="7"/>
      <c r="R213" s="7"/>
      <c r="S213" s="7"/>
      <c r="T213" s="7"/>
      <c r="U213" s="7"/>
      <c r="V213" s="7"/>
      <c r="W213" s="7"/>
      <c r="X213" s="7"/>
      <c r="Y213" s="7"/>
    </row>
    <row r="214" spans="1:25" ht="15.75" customHeight="1">
      <c r="A214" s="7"/>
      <c r="B214" s="7"/>
      <c r="C214" s="29"/>
      <c r="D214" s="7"/>
      <c r="E214" s="7"/>
      <c r="F214" s="7"/>
      <c r="G214" s="7"/>
      <c r="H214" s="7"/>
      <c r="I214" s="7"/>
      <c r="J214" s="7"/>
      <c r="K214" s="7"/>
      <c r="L214" s="7"/>
      <c r="M214" s="7"/>
      <c r="N214" s="7"/>
      <c r="O214" s="7"/>
      <c r="P214" s="7"/>
      <c r="Q214" s="7"/>
      <c r="R214" s="7"/>
      <c r="S214" s="7"/>
      <c r="T214" s="7"/>
      <c r="U214" s="7"/>
      <c r="V214" s="7"/>
      <c r="W214" s="7"/>
      <c r="X214" s="7"/>
      <c r="Y214" s="7"/>
    </row>
    <row r="215" spans="1:25" ht="15.75" customHeight="1">
      <c r="A215" s="7"/>
      <c r="B215" s="7"/>
      <c r="C215" s="29"/>
      <c r="D215" s="7"/>
      <c r="E215" s="7"/>
      <c r="F215" s="7"/>
      <c r="G215" s="7"/>
      <c r="H215" s="7"/>
      <c r="I215" s="7"/>
      <c r="J215" s="7"/>
      <c r="K215" s="7"/>
      <c r="L215" s="7"/>
      <c r="M215" s="7"/>
      <c r="N215" s="7"/>
      <c r="O215" s="7"/>
      <c r="P215" s="7"/>
      <c r="Q215" s="7"/>
      <c r="R215" s="7"/>
      <c r="S215" s="7"/>
      <c r="T215" s="7"/>
      <c r="U215" s="7"/>
      <c r="V215" s="7"/>
      <c r="W215" s="7"/>
      <c r="X215" s="7"/>
      <c r="Y215" s="7"/>
    </row>
    <row r="216" spans="1:25" ht="15.75" customHeight="1">
      <c r="A216" s="7"/>
      <c r="B216" s="7"/>
      <c r="C216" s="29"/>
      <c r="D216" s="7"/>
      <c r="E216" s="7"/>
      <c r="F216" s="7"/>
      <c r="G216" s="7"/>
      <c r="H216" s="7"/>
      <c r="I216" s="7"/>
      <c r="J216" s="7"/>
      <c r="K216" s="7"/>
      <c r="L216" s="7"/>
      <c r="M216" s="7"/>
      <c r="N216" s="7"/>
      <c r="O216" s="7"/>
      <c r="P216" s="7"/>
      <c r="Q216" s="7"/>
      <c r="R216" s="7"/>
      <c r="S216" s="7"/>
      <c r="T216" s="7"/>
      <c r="U216" s="7"/>
      <c r="V216" s="7"/>
      <c r="W216" s="7"/>
      <c r="X216" s="7"/>
      <c r="Y216" s="7"/>
    </row>
    <row r="217" spans="1:25" ht="15.75" customHeight="1">
      <c r="A217" s="7"/>
      <c r="B217" s="7"/>
      <c r="C217" s="29"/>
      <c r="D217" s="7"/>
      <c r="E217" s="7"/>
      <c r="F217" s="7"/>
      <c r="G217" s="7"/>
      <c r="H217" s="7"/>
      <c r="I217" s="7"/>
      <c r="J217" s="7"/>
      <c r="K217" s="7"/>
      <c r="L217" s="7"/>
      <c r="M217" s="7"/>
      <c r="N217" s="7"/>
      <c r="O217" s="7"/>
      <c r="P217" s="7"/>
      <c r="Q217" s="7"/>
      <c r="R217" s="7"/>
      <c r="S217" s="7"/>
      <c r="T217" s="7"/>
      <c r="U217" s="7"/>
      <c r="V217" s="7"/>
      <c r="W217" s="7"/>
      <c r="X217" s="7"/>
      <c r="Y217" s="7"/>
    </row>
    <row r="218" spans="1:25" ht="15.75" customHeight="1">
      <c r="A218" s="7"/>
      <c r="B218" s="7"/>
      <c r="C218" s="29"/>
      <c r="D218" s="7"/>
      <c r="E218" s="7"/>
      <c r="F218" s="7"/>
      <c r="G218" s="7"/>
      <c r="H218" s="7"/>
      <c r="I218" s="7"/>
      <c r="J218" s="7"/>
      <c r="K218" s="7"/>
      <c r="L218" s="7"/>
      <c r="M218" s="7"/>
      <c r="N218" s="7"/>
      <c r="O218" s="7"/>
      <c r="P218" s="7"/>
      <c r="Q218" s="7"/>
      <c r="R218" s="7"/>
      <c r="S218" s="7"/>
      <c r="T218" s="7"/>
      <c r="U218" s="7"/>
      <c r="V218" s="7"/>
      <c r="W218" s="7"/>
      <c r="X218" s="7"/>
      <c r="Y218" s="7"/>
    </row>
    <row r="219" spans="1:25" ht="15.75" customHeight="1">
      <c r="A219" s="7"/>
      <c r="B219" s="7"/>
      <c r="C219" s="29"/>
      <c r="D219" s="7"/>
      <c r="E219" s="7"/>
      <c r="F219" s="7"/>
      <c r="G219" s="7"/>
      <c r="H219" s="7"/>
      <c r="I219" s="7"/>
      <c r="J219" s="7"/>
      <c r="K219" s="7"/>
      <c r="L219" s="7"/>
      <c r="M219" s="7"/>
      <c r="N219" s="7"/>
      <c r="O219" s="7"/>
      <c r="P219" s="7"/>
      <c r="Q219" s="7"/>
      <c r="R219" s="7"/>
      <c r="S219" s="7"/>
      <c r="T219" s="7"/>
      <c r="U219" s="7"/>
      <c r="V219" s="7"/>
      <c r="W219" s="7"/>
      <c r="X219" s="7"/>
      <c r="Y219" s="7"/>
    </row>
    <row r="220" spans="1:25" ht="15.75" customHeight="1">
      <c r="A220" s="7"/>
      <c r="B220" s="7"/>
      <c r="C220" s="29"/>
      <c r="D220" s="7"/>
      <c r="E220" s="7"/>
      <c r="F220" s="7"/>
      <c r="G220" s="7"/>
      <c r="H220" s="7"/>
      <c r="I220" s="7"/>
      <c r="J220" s="7"/>
      <c r="K220" s="7"/>
      <c r="L220" s="7"/>
      <c r="M220" s="7"/>
      <c r="N220" s="7"/>
      <c r="O220" s="7"/>
      <c r="P220" s="7"/>
      <c r="Q220" s="7"/>
      <c r="R220" s="7"/>
      <c r="S220" s="7"/>
      <c r="T220" s="7"/>
      <c r="U220" s="7"/>
      <c r="V220" s="7"/>
      <c r="W220" s="7"/>
      <c r="X220" s="7"/>
      <c r="Y220" s="7"/>
    </row>
    <row r="221" spans="1:25" ht="15.75" customHeight="1">
      <c r="A221" s="7"/>
      <c r="B221" s="7"/>
      <c r="C221" s="29"/>
      <c r="D221" s="7"/>
      <c r="E221" s="7"/>
      <c r="F221" s="7"/>
      <c r="G221" s="7"/>
      <c r="H221" s="7"/>
      <c r="I221" s="7"/>
      <c r="J221" s="7"/>
      <c r="K221" s="7"/>
      <c r="L221" s="7"/>
      <c r="M221" s="7"/>
      <c r="N221" s="7"/>
      <c r="O221" s="7"/>
      <c r="P221" s="7"/>
      <c r="Q221" s="7"/>
      <c r="R221" s="7"/>
      <c r="S221" s="7"/>
      <c r="T221" s="7"/>
      <c r="U221" s="7"/>
      <c r="V221" s="7"/>
      <c r="W221" s="7"/>
      <c r="X221" s="7"/>
      <c r="Y221" s="7"/>
    </row>
    <row r="222" spans="1:25" ht="15.75" customHeight="1">
      <c r="A222" s="7"/>
      <c r="B222" s="7"/>
      <c r="C222" s="29"/>
      <c r="D222" s="7"/>
      <c r="E222" s="7"/>
      <c r="F222" s="7"/>
      <c r="G222" s="7"/>
      <c r="H222" s="7"/>
      <c r="I222" s="7"/>
      <c r="J222" s="7"/>
      <c r="K222" s="7"/>
      <c r="L222" s="7"/>
      <c r="M222" s="7"/>
      <c r="N222" s="7"/>
      <c r="O222" s="7"/>
      <c r="P222" s="7"/>
      <c r="Q222" s="7"/>
      <c r="R222" s="7"/>
      <c r="S222" s="7"/>
      <c r="T222" s="7"/>
      <c r="U222" s="7"/>
      <c r="V222" s="7"/>
      <c r="W222" s="7"/>
      <c r="X222" s="7"/>
      <c r="Y222" s="7"/>
    </row>
    <row r="223" spans="1:25" ht="15.75" customHeight="1">
      <c r="A223" s="7"/>
      <c r="B223" s="7"/>
      <c r="C223" s="29"/>
      <c r="D223" s="7"/>
      <c r="E223" s="7"/>
      <c r="F223" s="7"/>
      <c r="G223" s="7"/>
      <c r="H223" s="7"/>
      <c r="I223" s="7"/>
      <c r="J223" s="7"/>
      <c r="K223" s="7"/>
      <c r="L223" s="7"/>
      <c r="M223" s="7"/>
      <c r="N223" s="7"/>
      <c r="O223" s="7"/>
      <c r="P223" s="7"/>
      <c r="Q223" s="7"/>
      <c r="R223" s="7"/>
      <c r="S223" s="7"/>
      <c r="T223" s="7"/>
      <c r="U223" s="7"/>
      <c r="V223" s="7"/>
      <c r="W223" s="7"/>
      <c r="X223" s="7"/>
      <c r="Y223" s="7"/>
    </row>
    <row r="224" spans="1:25" ht="15.75" customHeight="1">
      <c r="A224" s="7"/>
      <c r="B224" s="7"/>
      <c r="C224" s="29"/>
      <c r="D224" s="7"/>
      <c r="E224" s="7"/>
      <c r="F224" s="7"/>
      <c r="G224" s="7"/>
      <c r="H224" s="7"/>
      <c r="I224" s="7"/>
      <c r="J224" s="7"/>
      <c r="K224" s="7"/>
      <c r="L224" s="7"/>
      <c r="M224" s="7"/>
      <c r="N224" s="7"/>
      <c r="O224" s="7"/>
      <c r="P224" s="7"/>
      <c r="Q224" s="7"/>
      <c r="R224" s="7"/>
      <c r="S224" s="7"/>
      <c r="T224" s="7"/>
      <c r="U224" s="7"/>
      <c r="V224" s="7"/>
      <c r="W224" s="7"/>
      <c r="X224" s="7"/>
      <c r="Y224" s="7"/>
    </row>
    <row r="225" spans="1:25" ht="15.75" customHeight="1">
      <c r="A225" s="7"/>
      <c r="B225" s="7"/>
      <c r="C225" s="29"/>
      <c r="D225" s="7"/>
      <c r="E225" s="7"/>
      <c r="F225" s="7"/>
      <c r="G225" s="7"/>
      <c r="H225" s="7"/>
      <c r="I225" s="7"/>
      <c r="J225" s="7"/>
      <c r="K225" s="7"/>
      <c r="L225" s="7"/>
      <c r="M225" s="7"/>
      <c r="N225" s="7"/>
      <c r="O225" s="7"/>
      <c r="P225" s="7"/>
      <c r="Q225" s="7"/>
      <c r="R225" s="7"/>
      <c r="S225" s="7"/>
      <c r="T225" s="7"/>
      <c r="U225" s="7"/>
      <c r="V225" s="7"/>
      <c r="W225" s="7"/>
      <c r="X225" s="7"/>
      <c r="Y225" s="7"/>
    </row>
    <row r="226" spans="1:25" ht="15.75" customHeight="1">
      <c r="A226" s="7"/>
      <c r="B226" s="7"/>
      <c r="C226" s="29"/>
      <c r="D226" s="7"/>
      <c r="E226" s="7"/>
      <c r="F226" s="7"/>
      <c r="G226" s="7"/>
      <c r="H226" s="7"/>
      <c r="I226" s="7"/>
      <c r="J226" s="7"/>
      <c r="K226" s="7"/>
      <c r="L226" s="7"/>
      <c r="M226" s="7"/>
      <c r="N226" s="7"/>
      <c r="O226" s="7"/>
      <c r="P226" s="7"/>
      <c r="Q226" s="7"/>
      <c r="R226" s="7"/>
      <c r="S226" s="7"/>
      <c r="T226" s="7"/>
      <c r="U226" s="7"/>
      <c r="V226" s="7"/>
      <c r="W226" s="7"/>
      <c r="X226" s="7"/>
      <c r="Y226" s="7"/>
    </row>
    <row r="227" spans="1:25" ht="15.75" customHeight="1">
      <c r="A227" s="7"/>
      <c r="B227" s="7"/>
      <c r="C227" s="29"/>
      <c r="D227" s="7"/>
      <c r="E227" s="7"/>
      <c r="F227" s="7"/>
      <c r="G227" s="7"/>
      <c r="H227" s="7"/>
      <c r="I227" s="7"/>
      <c r="J227" s="7"/>
      <c r="K227" s="7"/>
      <c r="L227" s="7"/>
      <c r="M227" s="7"/>
      <c r="N227" s="7"/>
      <c r="O227" s="7"/>
      <c r="P227" s="7"/>
      <c r="Q227" s="7"/>
      <c r="R227" s="7"/>
      <c r="S227" s="7"/>
      <c r="T227" s="7"/>
      <c r="U227" s="7"/>
      <c r="V227" s="7"/>
      <c r="W227" s="7"/>
      <c r="X227" s="7"/>
      <c r="Y227" s="7"/>
    </row>
    <row r="228" spans="1:25" ht="15.75" customHeight="1">
      <c r="A228" s="7"/>
      <c r="B228" s="7"/>
      <c r="C228" s="29"/>
      <c r="D228" s="7"/>
      <c r="E228" s="7"/>
      <c r="F228" s="7"/>
      <c r="G228" s="7"/>
      <c r="H228" s="7"/>
      <c r="I228" s="7"/>
      <c r="J228" s="7"/>
      <c r="K228" s="7"/>
      <c r="L228" s="7"/>
      <c r="M228" s="7"/>
      <c r="N228" s="7"/>
      <c r="O228" s="7"/>
      <c r="P228" s="7"/>
      <c r="Q228" s="7"/>
      <c r="R228" s="7"/>
      <c r="S228" s="7"/>
      <c r="T228" s="7"/>
      <c r="U228" s="7"/>
      <c r="V228" s="7"/>
      <c r="W228" s="7"/>
      <c r="X228" s="7"/>
      <c r="Y228" s="7"/>
    </row>
    <row r="229" spans="1:25" ht="15.75" customHeight="1">
      <c r="A229" s="7"/>
      <c r="B229" s="7"/>
      <c r="C229" s="29"/>
      <c r="D229" s="7"/>
      <c r="E229" s="7"/>
      <c r="F229" s="7"/>
      <c r="G229" s="7"/>
      <c r="H229" s="7"/>
      <c r="I229" s="7"/>
      <c r="J229" s="7"/>
      <c r="K229" s="7"/>
      <c r="L229" s="7"/>
      <c r="M229" s="7"/>
      <c r="N229" s="7"/>
      <c r="O229" s="7"/>
      <c r="P229" s="7"/>
      <c r="Q229" s="7"/>
      <c r="R229" s="7"/>
      <c r="S229" s="7"/>
      <c r="T229" s="7"/>
      <c r="U229" s="7"/>
      <c r="V229" s="7"/>
      <c r="W229" s="7"/>
      <c r="X229" s="7"/>
      <c r="Y229" s="7"/>
    </row>
    <row r="230" spans="1:25" ht="15.75" customHeight="1">
      <c r="A230" s="7"/>
      <c r="B230" s="7"/>
      <c r="C230" s="29"/>
      <c r="D230" s="7"/>
      <c r="E230" s="7"/>
      <c r="F230" s="7"/>
      <c r="G230" s="7"/>
      <c r="H230" s="7"/>
      <c r="I230" s="7"/>
      <c r="J230" s="7"/>
      <c r="K230" s="7"/>
      <c r="L230" s="7"/>
      <c r="M230" s="7"/>
      <c r="N230" s="7"/>
      <c r="O230" s="7"/>
      <c r="P230" s="7"/>
      <c r="Q230" s="7"/>
      <c r="R230" s="7"/>
      <c r="S230" s="7"/>
      <c r="T230" s="7"/>
      <c r="U230" s="7"/>
      <c r="V230" s="7"/>
      <c r="W230" s="7"/>
      <c r="X230" s="7"/>
      <c r="Y230" s="7"/>
    </row>
    <row r="231" spans="1:25" ht="15.75" customHeight="1">
      <c r="A231" s="7"/>
      <c r="B231" s="7"/>
      <c r="C231" s="29"/>
      <c r="D231" s="7"/>
      <c r="E231" s="7"/>
      <c r="F231" s="7"/>
      <c r="G231" s="7"/>
      <c r="H231" s="7"/>
      <c r="I231" s="7"/>
      <c r="J231" s="7"/>
      <c r="K231" s="7"/>
      <c r="L231" s="7"/>
      <c r="M231" s="7"/>
      <c r="N231" s="7"/>
      <c r="O231" s="7"/>
      <c r="P231" s="7"/>
      <c r="Q231" s="7"/>
      <c r="R231" s="7"/>
      <c r="S231" s="7"/>
      <c r="T231" s="7"/>
      <c r="U231" s="7"/>
      <c r="V231" s="7"/>
      <c r="W231" s="7"/>
      <c r="X231" s="7"/>
      <c r="Y231" s="7"/>
    </row>
    <row r="232" spans="1:25" ht="15.75" customHeight="1">
      <c r="A232" s="7"/>
      <c r="B232" s="7"/>
      <c r="C232" s="29"/>
      <c r="D232" s="7"/>
      <c r="E232" s="7"/>
      <c r="F232" s="7"/>
      <c r="G232" s="7"/>
      <c r="H232" s="7"/>
      <c r="I232" s="7"/>
      <c r="J232" s="7"/>
      <c r="K232" s="7"/>
      <c r="L232" s="7"/>
      <c r="M232" s="7"/>
      <c r="N232" s="7"/>
      <c r="O232" s="7"/>
      <c r="P232" s="7"/>
      <c r="Q232" s="7"/>
      <c r="R232" s="7"/>
      <c r="S232" s="7"/>
      <c r="T232" s="7"/>
      <c r="U232" s="7"/>
      <c r="V232" s="7"/>
      <c r="W232" s="7"/>
      <c r="X232" s="7"/>
      <c r="Y232" s="7"/>
    </row>
    <row r="233" spans="1:25" ht="15.75" customHeight="1">
      <c r="A233" s="7"/>
      <c r="B233" s="7"/>
      <c r="C233" s="29"/>
      <c r="D233" s="7"/>
      <c r="E233" s="7"/>
      <c r="F233" s="7"/>
      <c r="G233" s="7"/>
      <c r="H233" s="7"/>
      <c r="I233" s="7"/>
      <c r="J233" s="7"/>
      <c r="K233" s="7"/>
      <c r="L233" s="7"/>
      <c r="M233" s="7"/>
      <c r="N233" s="7"/>
      <c r="O233" s="7"/>
      <c r="P233" s="7"/>
      <c r="Q233" s="7"/>
      <c r="R233" s="7"/>
      <c r="S233" s="7"/>
      <c r="T233" s="7"/>
      <c r="U233" s="7"/>
      <c r="V233" s="7"/>
      <c r="W233" s="7"/>
      <c r="X233" s="7"/>
      <c r="Y233" s="7"/>
    </row>
    <row r="234" spans="1:25" ht="15.75" customHeight="1">
      <c r="A234" s="7"/>
      <c r="B234" s="7"/>
      <c r="C234" s="29"/>
      <c r="D234" s="7"/>
      <c r="E234" s="7"/>
      <c r="F234" s="7"/>
      <c r="G234" s="7"/>
      <c r="H234" s="7"/>
      <c r="I234" s="7"/>
      <c r="J234" s="7"/>
      <c r="K234" s="7"/>
      <c r="L234" s="7"/>
      <c r="M234" s="7"/>
      <c r="N234" s="7"/>
      <c r="O234" s="7"/>
      <c r="P234" s="7"/>
      <c r="Q234" s="7"/>
      <c r="R234" s="7"/>
      <c r="S234" s="7"/>
      <c r="T234" s="7"/>
      <c r="U234" s="7"/>
      <c r="V234" s="7"/>
      <c r="W234" s="7"/>
      <c r="X234" s="7"/>
      <c r="Y234" s="7"/>
    </row>
    <row r="235" spans="1:25" ht="15.75" customHeight="1">
      <c r="A235" s="7"/>
      <c r="B235" s="7"/>
      <c r="C235" s="29"/>
      <c r="D235" s="7"/>
      <c r="E235" s="7"/>
      <c r="F235" s="7"/>
      <c r="G235" s="7"/>
      <c r="H235" s="7"/>
      <c r="I235" s="7"/>
      <c r="J235" s="7"/>
      <c r="K235" s="7"/>
      <c r="L235" s="7"/>
      <c r="M235" s="7"/>
      <c r="N235" s="7"/>
      <c r="O235" s="7"/>
      <c r="P235" s="7"/>
      <c r="Q235" s="7"/>
      <c r="R235" s="7"/>
      <c r="S235" s="7"/>
      <c r="T235" s="7"/>
      <c r="U235" s="7"/>
      <c r="V235" s="7"/>
      <c r="W235" s="7"/>
      <c r="X235" s="7"/>
      <c r="Y235" s="7"/>
    </row>
    <row r="236" spans="1:25" ht="15.75" customHeight="1">
      <c r="A236" s="7"/>
      <c r="B236" s="7"/>
      <c r="C236" s="29"/>
      <c r="D236" s="7"/>
      <c r="E236" s="7"/>
      <c r="F236" s="7"/>
      <c r="G236" s="7"/>
      <c r="H236" s="7"/>
      <c r="I236" s="7"/>
      <c r="J236" s="7"/>
      <c r="K236" s="7"/>
      <c r="L236" s="7"/>
      <c r="M236" s="7"/>
      <c r="N236" s="7"/>
      <c r="O236" s="7"/>
      <c r="P236" s="7"/>
      <c r="Q236" s="7"/>
      <c r="R236" s="7"/>
      <c r="S236" s="7"/>
      <c r="T236" s="7"/>
      <c r="U236" s="7"/>
      <c r="V236" s="7"/>
      <c r="W236" s="7"/>
      <c r="X236" s="7"/>
      <c r="Y236" s="7"/>
    </row>
    <row r="237" spans="1:25" ht="15.75" customHeight="1">
      <c r="A237" s="7"/>
      <c r="B237" s="7"/>
      <c r="C237" s="29"/>
      <c r="D237" s="7"/>
      <c r="E237" s="7"/>
      <c r="F237" s="7"/>
      <c r="G237" s="7"/>
      <c r="H237" s="7"/>
      <c r="I237" s="7"/>
      <c r="J237" s="7"/>
      <c r="K237" s="7"/>
      <c r="L237" s="7"/>
      <c r="M237" s="7"/>
      <c r="N237" s="7"/>
      <c r="O237" s="7"/>
      <c r="P237" s="7"/>
      <c r="Q237" s="7"/>
      <c r="R237" s="7"/>
      <c r="S237" s="7"/>
      <c r="T237" s="7"/>
      <c r="U237" s="7"/>
      <c r="V237" s="7"/>
      <c r="W237" s="7"/>
      <c r="X237" s="7"/>
      <c r="Y237" s="7"/>
    </row>
    <row r="238" spans="1:25" ht="15.75" customHeight="1">
      <c r="A238" s="7"/>
      <c r="B238" s="7"/>
      <c r="C238" s="29"/>
      <c r="D238" s="7"/>
      <c r="E238" s="7"/>
      <c r="F238" s="7"/>
      <c r="G238" s="7"/>
      <c r="H238" s="7"/>
      <c r="I238" s="7"/>
      <c r="J238" s="7"/>
      <c r="K238" s="7"/>
      <c r="L238" s="7"/>
      <c r="M238" s="7"/>
      <c r="N238" s="7"/>
      <c r="O238" s="7"/>
      <c r="P238" s="7"/>
      <c r="Q238" s="7"/>
      <c r="R238" s="7"/>
      <c r="S238" s="7"/>
      <c r="T238" s="7"/>
      <c r="U238" s="7"/>
      <c r="V238" s="7"/>
      <c r="W238" s="7"/>
      <c r="X238" s="7"/>
      <c r="Y238" s="7"/>
    </row>
    <row r="239" spans="1:25" ht="15.75" customHeight="1">
      <c r="A239" s="7"/>
      <c r="B239" s="7"/>
      <c r="C239" s="29"/>
      <c r="D239" s="7"/>
      <c r="E239" s="7"/>
      <c r="F239" s="7"/>
      <c r="G239" s="7"/>
      <c r="H239" s="7"/>
      <c r="I239" s="7"/>
      <c r="J239" s="7"/>
      <c r="K239" s="7"/>
      <c r="L239" s="7"/>
      <c r="M239" s="7"/>
      <c r="N239" s="7"/>
      <c r="O239" s="7"/>
      <c r="P239" s="7"/>
      <c r="Q239" s="7"/>
      <c r="R239" s="7"/>
      <c r="S239" s="7"/>
      <c r="T239" s="7"/>
      <c r="U239" s="7"/>
      <c r="V239" s="7"/>
      <c r="W239" s="7"/>
      <c r="X239" s="7"/>
      <c r="Y239" s="7"/>
    </row>
    <row r="240" spans="1:25" ht="15.75" customHeight="1">
      <c r="A240" s="7"/>
      <c r="B240" s="7"/>
      <c r="C240" s="29"/>
      <c r="D240" s="7"/>
      <c r="E240" s="7"/>
      <c r="F240" s="7"/>
      <c r="G240" s="7"/>
      <c r="H240" s="7"/>
      <c r="I240" s="7"/>
      <c r="J240" s="7"/>
      <c r="K240" s="7"/>
      <c r="L240" s="7"/>
      <c r="M240" s="7"/>
      <c r="N240" s="7"/>
      <c r="O240" s="7"/>
      <c r="P240" s="7"/>
      <c r="Q240" s="7"/>
      <c r="R240" s="7"/>
      <c r="S240" s="7"/>
      <c r="T240" s="7"/>
      <c r="U240" s="7"/>
      <c r="V240" s="7"/>
      <c r="W240" s="7"/>
      <c r="X240" s="7"/>
      <c r="Y240" s="7"/>
    </row>
    <row r="241" spans="1:25" ht="15.75" customHeight="1">
      <c r="A241" s="7"/>
      <c r="B241" s="7"/>
      <c r="C241" s="29"/>
      <c r="D241" s="7"/>
      <c r="E241" s="7"/>
      <c r="F241" s="7"/>
      <c r="G241" s="7"/>
      <c r="H241" s="7"/>
      <c r="I241" s="7"/>
      <c r="J241" s="7"/>
      <c r="K241" s="7"/>
      <c r="L241" s="7"/>
      <c r="M241" s="7"/>
      <c r="N241" s="7"/>
      <c r="O241" s="7"/>
      <c r="P241" s="7"/>
      <c r="Q241" s="7"/>
      <c r="R241" s="7"/>
      <c r="S241" s="7"/>
      <c r="T241" s="7"/>
      <c r="U241" s="7"/>
      <c r="V241" s="7"/>
      <c r="W241" s="7"/>
      <c r="X241" s="7"/>
      <c r="Y241" s="7"/>
    </row>
    <row r="242" spans="1:25" ht="15.75" customHeight="1">
      <c r="A242" s="7"/>
      <c r="B242" s="7"/>
      <c r="C242" s="29"/>
      <c r="D242" s="7"/>
      <c r="E242" s="7"/>
      <c r="F242" s="7"/>
      <c r="G242" s="7"/>
      <c r="H242" s="7"/>
      <c r="I242" s="7"/>
      <c r="J242" s="7"/>
      <c r="K242" s="7"/>
      <c r="L242" s="7"/>
      <c r="M242" s="7"/>
      <c r="N242" s="7"/>
      <c r="O242" s="7"/>
      <c r="P242" s="7"/>
      <c r="Q242" s="7"/>
      <c r="R242" s="7"/>
      <c r="S242" s="7"/>
      <c r="T242" s="7"/>
      <c r="U242" s="7"/>
      <c r="V242" s="7"/>
      <c r="W242" s="7"/>
      <c r="X242" s="7"/>
      <c r="Y242" s="7"/>
    </row>
    <row r="243" spans="1:25" ht="15.75" customHeight="1">
      <c r="A243" s="7"/>
      <c r="B243" s="7"/>
      <c r="C243" s="29"/>
      <c r="D243" s="7"/>
      <c r="E243" s="7"/>
      <c r="F243" s="7"/>
      <c r="G243" s="7"/>
      <c r="H243" s="7"/>
      <c r="I243" s="7"/>
      <c r="J243" s="7"/>
      <c r="K243" s="7"/>
      <c r="L243" s="7"/>
      <c r="M243" s="7"/>
      <c r="N243" s="7"/>
      <c r="O243" s="7"/>
      <c r="P243" s="7"/>
      <c r="Q243" s="7"/>
      <c r="R243" s="7"/>
      <c r="S243" s="7"/>
      <c r="T243" s="7"/>
      <c r="U243" s="7"/>
      <c r="V243" s="7"/>
      <c r="W243" s="7"/>
      <c r="X243" s="7"/>
      <c r="Y243" s="7"/>
    </row>
    <row r="244" spans="1:25" ht="15.75" customHeight="1">
      <c r="A244" s="7"/>
      <c r="B244" s="7"/>
      <c r="C244" s="29"/>
      <c r="D244" s="7"/>
      <c r="E244" s="7"/>
      <c r="F244" s="7"/>
      <c r="G244" s="7"/>
      <c r="H244" s="7"/>
      <c r="I244" s="7"/>
      <c r="J244" s="7"/>
      <c r="K244" s="7"/>
      <c r="L244" s="7"/>
      <c r="M244" s="7"/>
      <c r="N244" s="7"/>
      <c r="O244" s="7"/>
      <c r="P244" s="7"/>
      <c r="Q244" s="7"/>
      <c r="R244" s="7"/>
      <c r="S244" s="7"/>
      <c r="T244" s="7"/>
      <c r="U244" s="7"/>
      <c r="V244" s="7"/>
      <c r="W244" s="7"/>
      <c r="X244" s="7"/>
      <c r="Y244" s="7"/>
    </row>
    <row r="245" spans="1:25" ht="15.75" customHeight="1">
      <c r="A245" s="7"/>
      <c r="B245" s="7"/>
      <c r="C245" s="29"/>
      <c r="D245" s="7"/>
      <c r="E245" s="7"/>
      <c r="F245" s="7"/>
      <c r="G245" s="7"/>
      <c r="H245" s="7"/>
      <c r="I245" s="7"/>
      <c r="J245" s="7"/>
      <c r="K245" s="7"/>
      <c r="L245" s="7"/>
      <c r="M245" s="7"/>
      <c r="N245" s="7"/>
      <c r="O245" s="7"/>
      <c r="P245" s="7"/>
      <c r="Q245" s="7"/>
      <c r="R245" s="7"/>
      <c r="S245" s="7"/>
      <c r="T245" s="7"/>
      <c r="U245" s="7"/>
      <c r="V245" s="7"/>
      <c r="W245" s="7"/>
      <c r="X245" s="7"/>
      <c r="Y245" s="7"/>
    </row>
    <row r="246" spans="1:25" ht="15.75" customHeight="1">
      <c r="A246" s="7"/>
      <c r="B246" s="7"/>
      <c r="C246" s="29"/>
      <c r="D246" s="7"/>
      <c r="E246" s="7"/>
      <c r="F246" s="7"/>
      <c r="G246" s="7"/>
      <c r="H246" s="7"/>
      <c r="I246" s="7"/>
      <c r="J246" s="7"/>
      <c r="K246" s="7"/>
      <c r="L246" s="7"/>
      <c r="M246" s="7"/>
      <c r="N246" s="7"/>
      <c r="O246" s="7"/>
      <c r="P246" s="7"/>
      <c r="Q246" s="7"/>
      <c r="R246" s="7"/>
      <c r="S246" s="7"/>
      <c r="T246" s="7"/>
      <c r="U246" s="7"/>
      <c r="V246" s="7"/>
      <c r="W246" s="7"/>
      <c r="X246" s="7"/>
      <c r="Y246" s="7"/>
    </row>
    <row r="247" spans="1:25" ht="15.75" customHeight="1">
      <c r="A247" s="7"/>
      <c r="B247" s="7"/>
      <c r="C247" s="29"/>
      <c r="D247" s="7"/>
      <c r="E247" s="7"/>
      <c r="F247" s="7"/>
      <c r="G247" s="7"/>
      <c r="H247" s="7"/>
      <c r="I247" s="7"/>
      <c r="J247" s="7"/>
      <c r="K247" s="7"/>
      <c r="L247" s="7"/>
      <c r="M247" s="7"/>
      <c r="N247" s="7"/>
      <c r="O247" s="7"/>
      <c r="P247" s="7"/>
      <c r="Q247" s="7"/>
      <c r="R247" s="7"/>
      <c r="S247" s="7"/>
      <c r="T247" s="7"/>
      <c r="U247" s="7"/>
      <c r="V247" s="7"/>
      <c r="W247" s="7"/>
      <c r="X247" s="7"/>
      <c r="Y247" s="7"/>
    </row>
    <row r="248" spans="1:25" ht="15.75" customHeight="1">
      <c r="A248" s="7"/>
      <c r="B248" s="7"/>
      <c r="C248" s="29"/>
      <c r="D248" s="7"/>
      <c r="E248" s="7"/>
      <c r="F248" s="7"/>
      <c r="G248" s="7"/>
      <c r="H248" s="7"/>
      <c r="I248" s="7"/>
      <c r="J248" s="7"/>
      <c r="K248" s="7"/>
      <c r="L248" s="7"/>
      <c r="M248" s="7"/>
      <c r="N248" s="7"/>
      <c r="O248" s="7"/>
      <c r="P248" s="7"/>
      <c r="Q248" s="7"/>
      <c r="R248" s="7"/>
      <c r="S248" s="7"/>
      <c r="T248" s="7"/>
      <c r="U248" s="7"/>
      <c r="V248" s="7"/>
      <c r="W248" s="7"/>
      <c r="X248" s="7"/>
      <c r="Y248" s="7"/>
    </row>
    <row r="249" spans="1:25" ht="15.75" customHeight="1">
      <c r="A249" s="7"/>
      <c r="B249" s="7"/>
      <c r="C249" s="29"/>
      <c r="D249" s="7"/>
      <c r="E249" s="7"/>
      <c r="F249" s="7"/>
      <c r="G249" s="7"/>
      <c r="H249" s="7"/>
      <c r="I249" s="7"/>
      <c r="J249" s="7"/>
      <c r="K249" s="7"/>
      <c r="L249" s="7"/>
      <c r="M249" s="7"/>
      <c r="N249" s="7"/>
      <c r="O249" s="7"/>
      <c r="P249" s="7"/>
      <c r="Q249" s="7"/>
      <c r="R249" s="7"/>
      <c r="S249" s="7"/>
      <c r="T249" s="7"/>
      <c r="U249" s="7"/>
      <c r="V249" s="7"/>
      <c r="W249" s="7"/>
      <c r="X249" s="7"/>
      <c r="Y249" s="7"/>
    </row>
    <row r="250" spans="1:25" ht="15.75" customHeight="1">
      <c r="A250" s="7"/>
      <c r="B250" s="7"/>
      <c r="C250" s="29"/>
      <c r="D250" s="7"/>
      <c r="E250" s="7"/>
      <c r="F250" s="7"/>
      <c r="G250" s="7"/>
      <c r="H250" s="7"/>
      <c r="I250" s="7"/>
      <c r="J250" s="7"/>
      <c r="K250" s="7"/>
      <c r="L250" s="7"/>
      <c r="M250" s="7"/>
      <c r="N250" s="7"/>
      <c r="O250" s="7"/>
      <c r="P250" s="7"/>
      <c r="Q250" s="7"/>
      <c r="R250" s="7"/>
      <c r="S250" s="7"/>
      <c r="T250" s="7"/>
      <c r="U250" s="7"/>
      <c r="V250" s="7"/>
      <c r="W250" s="7"/>
      <c r="X250" s="7"/>
      <c r="Y250" s="7"/>
    </row>
    <row r="251" spans="1:25" ht="15.75" customHeight="1">
      <c r="A251" s="7"/>
      <c r="B251" s="7"/>
      <c r="C251" s="29"/>
      <c r="D251" s="7"/>
      <c r="E251" s="7"/>
      <c r="F251" s="7"/>
      <c r="G251" s="7"/>
      <c r="H251" s="7"/>
      <c r="I251" s="7"/>
      <c r="J251" s="7"/>
      <c r="K251" s="7"/>
      <c r="L251" s="7"/>
      <c r="M251" s="7"/>
      <c r="N251" s="7"/>
      <c r="O251" s="7"/>
      <c r="P251" s="7"/>
      <c r="Q251" s="7"/>
      <c r="R251" s="7"/>
      <c r="S251" s="7"/>
      <c r="T251" s="7"/>
      <c r="U251" s="7"/>
      <c r="V251" s="7"/>
      <c r="W251" s="7"/>
      <c r="X251" s="7"/>
      <c r="Y251" s="7"/>
    </row>
    <row r="252" spans="1:25" ht="15.75" customHeight="1">
      <c r="A252" s="7"/>
      <c r="B252" s="7"/>
      <c r="C252" s="29"/>
      <c r="D252" s="7"/>
      <c r="E252" s="7"/>
      <c r="F252" s="7"/>
      <c r="G252" s="7"/>
      <c r="H252" s="7"/>
      <c r="I252" s="7"/>
      <c r="J252" s="7"/>
      <c r="K252" s="7"/>
      <c r="L252" s="7"/>
      <c r="M252" s="7"/>
      <c r="N252" s="7"/>
      <c r="O252" s="7"/>
      <c r="P252" s="7"/>
      <c r="Q252" s="7"/>
      <c r="R252" s="7"/>
      <c r="S252" s="7"/>
      <c r="T252" s="7"/>
      <c r="U252" s="7"/>
      <c r="V252" s="7"/>
      <c r="W252" s="7"/>
      <c r="X252" s="7"/>
      <c r="Y252" s="7"/>
    </row>
    <row r="253" spans="1:25" ht="15.75" customHeight="1">
      <c r="A253" s="7"/>
      <c r="B253" s="7"/>
      <c r="C253" s="29"/>
      <c r="D253" s="7"/>
      <c r="E253" s="7"/>
      <c r="F253" s="7"/>
      <c r="G253" s="7"/>
      <c r="H253" s="7"/>
      <c r="I253" s="7"/>
      <c r="J253" s="7"/>
      <c r="K253" s="7"/>
      <c r="L253" s="7"/>
      <c r="M253" s="7"/>
      <c r="N253" s="7"/>
      <c r="O253" s="7"/>
      <c r="P253" s="7"/>
      <c r="Q253" s="7"/>
      <c r="R253" s="7"/>
      <c r="S253" s="7"/>
      <c r="T253" s="7"/>
      <c r="U253" s="7"/>
      <c r="V253" s="7"/>
      <c r="W253" s="7"/>
      <c r="X253" s="7"/>
      <c r="Y253" s="7"/>
    </row>
    <row r="254" spans="1:25" ht="15.75" customHeight="1">
      <c r="A254" s="7"/>
      <c r="B254" s="7"/>
      <c r="C254" s="29"/>
      <c r="D254" s="7"/>
      <c r="E254" s="7"/>
      <c r="F254" s="7"/>
      <c r="G254" s="7"/>
      <c r="H254" s="7"/>
      <c r="I254" s="7"/>
      <c r="J254" s="7"/>
      <c r="K254" s="7"/>
      <c r="L254" s="7"/>
      <c r="M254" s="7"/>
      <c r="N254" s="7"/>
      <c r="O254" s="7"/>
      <c r="P254" s="7"/>
      <c r="Q254" s="7"/>
      <c r="R254" s="7"/>
      <c r="S254" s="7"/>
      <c r="T254" s="7"/>
      <c r="U254" s="7"/>
      <c r="V254" s="7"/>
      <c r="W254" s="7"/>
      <c r="X254" s="7"/>
      <c r="Y254" s="7"/>
    </row>
    <row r="255" spans="1:25" ht="15.75" customHeight="1">
      <c r="A255" s="7"/>
      <c r="B255" s="7"/>
      <c r="C255" s="29"/>
      <c r="D255" s="7"/>
      <c r="E255" s="7"/>
      <c r="F255" s="7"/>
      <c r="G255" s="7"/>
      <c r="H255" s="7"/>
      <c r="I255" s="7"/>
      <c r="J255" s="7"/>
      <c r="K255" s="7"/>
      <c r="L255" s="7"/>
      <c r="M255" s="7"/>
      <c r="N255" s="7"/>
      <c r="O255" s="7"/>
      <c r="P255" s="7"/>
      <c r="Q255" s="7"/>
      <c r="R255" s="7"/>
      <c r="S255" s="7"/>
      <c r="T255" s="7"/>
      <c r="U255" s="7"/>
      <c r="V255" s="7"/>
      <c r="W255" s="7"/>
      <c r="X255" s="7"/>
      <c r="Y255" s="7"/>
    </row>
    <row r="256" spans="1:25" ht="15.75" customHeight="1">
      <c r="A256" s="7"/>
      <c r="B256" s="7"/>
      <c r="C256" s="29"/>
      <c r="D256" s="7"/>
      <c r="E256" s="7"/>
      <c r="F256" s="7"/>
      <c r="G256" s="7"/>
      <c r="H256" s="7"/>
      <c r="I256" s="7"/>
      <c r="J256" s="7"/>
      <c r="K256" s="7"/>
      <c r="L256" s="7"/>
      <c r="M256" s="7"/>
      <c r="N256" s="7"/>
      <c r="O256" s="7"/>
      <c r="P256" s="7"/>
      <c r="Q256" s="7"/>
      <c r="R256" s="7"/>
      <c r="S256" s="7"/>
      <c r="T256" s="7"/>
      <c r="U256" s="7"/>
      <c r="V256" s="7"/>
      <c r="W256" s="7"/>
      <c r="X256" s="7"/>
      <c r="Y256" s="7"/>
    </row>
    <row r="257" spans="1:25" ht="15.75" customHeight="1">
      <c r="A257" s="7"/>
      <c r="B257" s="7"/>
      <c r="C257" s="29"/>
      <c r="D257" s="7"/>
      <c r="E257" s="7"/>
      <c r="F257" s="7"/>
      <c r="G257" s="7"/>
      <c r="H257" s="7"/>
      <c r="I257" s="7"/>
      <c r="J257" s="7"/>
      <c r="K257" s="7"/>
      <c r="L257" s="7"/>
      <c r="M257" s="7"/>
      <c r="N257" s="7"/>
      <c r="O257" s="7"/>
      <c r="P257" s="7"/>
      <c r="Q257" s="7"/>
      <c r="R257" s="7"/>
      <c r="S257" s="7"/>
      <c r="T257" s="7"/>
      <c r="U257" s="7"/>
      <c r="V257" s="7"/>
      <c r="W257" s="7"/>
      <c r="X257" s="7"/>
      <c r="Y257" s="7"/>
    </row>
    <row r="258" spans="1:25" ht="15.75" customHeight="1">
      <c r="A258" s="7"/>
      <c r="B258" s="7"/>
      <c r="C258" s="29"/>
      <c r="D258" s="7"/>
      <c r="E258" s="7"/>
      <c r="F258" s="7"/>
      <c r="G258" s="7"/>
      <c r="H258" s="7"/>
      <c r="I258" s="7"/>
      <c r="J258" s="7"/>
      <c r="K258" s="7"/>
      <c r="L258" s="7"/>
      <c r="M258" s="7"/>
      <c r="N258" s="7"/>
      <c r="O258" s="7"/>
      <c r="P258" s="7"/>
      <c r="Q258" s="7"/>
      <c r="R258" s="7"/>
      <c r="S258" s="7"/>
      <c r="T258" s="7"/>
      <c r="U258" s="7"/>
      <c r="V258" s="7"/>
      <c r="W258" s="7"/>
      <c r="X258" s="7"/>
      <c r="Y258" s="7"/>
    </row>
    <row r="259" spans="1:25" ht="15.75" customHeight="1">
      <c r="A259" s="7"/>
      <c r="B259" s="7"/>
      <c r="C259" s="29"/>
      <c r="D259" s="7"/>
      <c r="E259" s="7"/>
      <c r="F259" s="7"/>
      <c r="G259" s="7"/>
      <c r="H259" s="7"/>
      <c r="I259" s="7"/>
      <c r="J259" s="7"/>
      <c r="K259" s="7"/>
      <c r="L259" s="7"/>
      <c r="M259" s="7"/>
      <c r="N259" s="7"/>
      <c r="O259" s="7"/>
      <c r="P259" s="7"/>
      <c r="Q259" s="7"/>
      <c r="R259" s="7"/>
      <c r="S259" s="7"/>
      <c r="T259" s="7"/>
      <c r="U259" s="7"/>
      <c r="V259" s="7"/>
      <c r="W259" s="7"/>
      <c r="X259" s="7"/>
      <c r="Y259" s="7"/>
    </row>
    <row r="260" spans="1:25" ht="15.75" customHeight="1">
      <c r="A260" s="7"/>
      <c r="B260" s="7"/>
      <c r="C260" s="29"/>
      <c r="D260" s="7"/>
      <c r="E260" s="7"/>
      <c r="F260" s="7"/>
      <c r="G260" s="7"/>
      <c r="H260" s="7"/>
      <c r="I260" s="7"/>
      <c r="J260" s="7"/>
      <c r="K260" s="7"/>
      <c r="L260" s="7"/>
      <c r="M260" s="7"/>
      <c r="N260" s="7"/>
      <c r="O260" s="7"/>
      <c r="P260" s="7"/>
      <c r="Q260" s="7"/>
      <c r="R260" s="7"/>
      <c r="S260" s="7"/>
      <c r="T260" s="7"/>
      <c r="U260" s="7"/>
      <c r="V260" s="7"/>
      <c r="W260" s="7"/>
      <c r="X260" s="7"/>
      <c r="Y260" s="7"/>
    </row>
    <row r="261" spans="1:25" ht="15.75" customHeight="1">
      <c r="A261" s="7"/>
      <c r="B261" s="7"/>
      <c r="C261" s="29"/>
      <c r="D261" s="7"/>
      <c r="E261" s="7"/>
      <c r="F261" s="7"/>
      <c r="G261" s="7"/>
      <c r="H261" s="7"/>
      <c r="I261" s="7"/>
      <c r="J261" s="7"/>
      <c r="K261" s="7"/>
      <c r="L261" s="7"/>
      <c r="M261" s="7"/>
      <c r="N261" s="7"/>
      <c r="O261" s="7"/>
      <c r="P261" s="7"/>
      <c r="Q261" s="7"/>
      <c r="R261" s="7"/>
      <c r="S261" s="7"/>
      <c r="T261" s="7"/>
      <c r="U261" s="7"/>
      <c r="V261" s="7"/>
      <c r="W261" s="7"/>
      <c r="X261" s="7"/>
      <c r="Y261" s="7"/>
    </row>
    <row r="262" spans="1:25" ht="15.75" customHeight="1">
      <c r="A262" s="7"/>
      <c r="B262" s="7"/>
      <c r="C262" s="29"/>
      <c r="D262" s="7"/>
      <c r="E262" s="7"/>
      <c r="F262" s="7"/>
      <c r="G262" s="7"/>
      <c r="H262" s="7"/>
      <c r="I262" s="7"/>
      <c r="J262" s="7"/>
      <c r="K262" s="7"/>
      <c r="L262" s="7"/>
      <c r="M262" s="7"/>
      <c r="N262" s="7"/>
      <c r="O262" s="7"/>
      <c r="P262" s="7"/>
      <c r="Q262" s="7"/>
      <c r="R262" s="7"/>
      <c r="S262" s="7"/>
      <c r="T262" s="7"/>
      <c r="U262" s="7"/>
      <c r="V262" s="7"/>
      <c r="W262" s="7"/>
      <c r="X262" s="7"/>
      <c r="Y262" s="7"/>
    </row>
    <row r="263" spans="1:25" ht="15.75" customHeight="1">
      <c r="A263" s="7"/>
      <c r="B263" s="7"/>
      <c r="C263" s="29"/>
      <c r="D263" s="7"/>
      <c r="E263" s="7"/>
      <c r="F263" s="7"/>
      <c r="G263" s="7"/>
      <c r="H263" s="7"/>
      <c r="I263" s="7"/>
      <c r="J263" s="7"/>
      <c r="K263" s="7"/>
      <c r="L263" s="7"/>
      <c r="M263" s="7"/>
      <c r="N263" s="7"/>
      <c r="O263" s="7"/>
      <c r="P263" s="7"/>
      <c r="Q263" s="7"/>
      <c r="R263" s="7"/>
      <c r="S263" s="7"/>
      <c r="T263" s="7"/>
      <c r="U263" s="7"/>
      <c r="V263" s="7"/>
      <c r="W263" s="7"/>
      <c r="X263" s="7"/>
      <c r="Y263" s="7"/>
    </row>
    <row r="264" spans="1:25" ht="15.75" customHeight="1">
      <c r="A264" s="7"/>
      <c r="B264" s="7"/>
      <c r="C264" s="29"/>
      <c r="D264" s="7"/>
      <c r="E264" s="7"/>
      <c r="F264" s="7"/>
      <c r="G264" s="7"/>
      <c r="H264" s="7"/>
      <c r="I264" s="7"/>
      <c r="J264" s="7"/>
      <c r="K264" s="7"/>
      <c r="L264" s="7"/>
      <c r="M264" s="7"/>
      <c r="N264" s="7"/>
      <c r="O264" s="7"/>
      <c r="P264" s="7"/>
      <c r="Q264" s="7"/>
      <c r="R264" s="7"/>
      <c r="S264" s="7"/>
      <c r="T264" s="7"/>
      <c r="U264" s="7"/>
      <c r="V264" s="7"/>
      <c r="W264" s="7"/>
      <c r="X264" s="7"/>
      <c r="Y264" s="7"/>
    </row>
    <row r="265" spans="1:25" ht="15.75" customHeight="1">
      <c r="A265" s="7"/>
      <c r="B265" s="7"/>
      <c r="C265" s="29"/>
      <c r="D265" s="7"/>
      <c r="E265" s="7"/>
      <c r="F265" s="7"/>
      <c r="G265" s="7"/>
      <c r="H265" s="7"/>
      <c r="I265" s="7"/>
      <c r="J265" s="7"/>
      <c r="K265" s="7"/>
      <c r="L265" s="7"/>
      <c r="M265" s="7"/>
      <c r="N265" s="7"/>
      <c r="O265" s="7"/>
      <c r="P265" s="7"/>
      <c r="Q265" s="7"/>
      <c r="R265" s="7"/>
      <c r="S265" s="7"/>
      <c r="T265" s="7"/>
      <c r="U265" s="7"/>
      <c r="V265" s="7"/>
      <c r="W265" s="7"/>
      <c r="X265" s="7"/>
      <c r="Y265" s="7"/>
    </row>
    <row r="266" spans="1:25" ht="15.75" customHeight="1">
      <c r="A266" s="7"/>
      <c r="B266" s="7"/>
      <c r="C266" s="29"/>
      <c r="D266" s="7"/>
      <c r="E266" s="7"/>
      <c r="F266" s="7"/>
      <c r="G266" s="7"/>
      <c r="H266" s="7"/>
      <c r="I266" s="7"/>
      <c r="J266" s="7"/>
      <c r="K266" s="7"/>
      <c r="L266" s="7"/>
      <c r="M266" s="7"/>
      <c r="N266" s="7"/>
      <c r="O266" s="7"/>
      <c r="P266" s="7"/>
      <c r="Q266" s="7"/>
      <c r="R266" s="7"/>
      <c r="S266" s="7"/>
      <c r="T266" s="7"/>
      <c r="U266" s="7"/>
      <c r="V266" s="7"/>
      <c r="W266" s="7"/>
      <c r="X266" s="7"/>
      <c r="Y266" s="7"/>
    </row>
    <row r="267" spans="1:25" ht="15.75" customHeight="1">
      <c r="A267" s="7"/>
      <c r="B267" s="7"/>
      <c r="C267" s="29"/>
      <c r="D267" s="7"/>
      <c r="E267" s="7"/>
      <c r="F267" s="7"/>
      <c r="G267" s="7"/>
      <c r="H267" s="7"/>
      <c r="I267" s="7"/>
      <c r="J267" s="7"/>
      <c r="K267" s="7"/>
      <c r="L267" s="7"/>
      <c r="M267" s="7"/>
      <c r="N267" s="7"/>
      <c r="O267" s="7"/>
      <c r="P267" s="7"/>
      <c r="Q267" s="7"/>
      <c r="R267" s="7"/>
      <c r="S267" s="7"/>
      <c r="T267" s="7"/>
      <c r="U267" s="7"/>
      <c r="V267" s="7"/>
      <c r="W267" s="7"/>
      <c r="X267" s="7"/>
      <c r="Y267" s="7"/>
    </row>
    <row r="268" spans="1:25" ht="15.75" customHeight="1">
      <c r="A268" s="7"/>
      <c r="B268" s="7"/>
      <c r="C268" s="29"/>
      <c r="D268" s="7"/>
      <c r="E268" s="7"/>
      <c r="F268" s="7"/>
      <c r="G268" s="7"/>
      <c r="H268" s="7"/>
      <c r="I268" s="7"/>
      <c r="J268" s="7"/>
      <c r="K268" s="7"/>
      <c r="L268" s="7"/>
      <c r="M268" s="7"/>
      <c r="N268" s="7"/>
      <c r="O268" s="7"/>
      <c r="P268" s="7"/>
      <c r="Q268" s="7"/>
      <c r="R268" s="7"/>
      <c r="S268" s="7"/>
      <c r="T268" s="7"/>
      <c r="U268" s="7"/>
      <c r="V268" s="7"/>
      <c r="W268" s="7"/>
      <c r="X268" s="7"/>
      <c r="Y268" s="7"/>
    </row>
    <row r="269" spans="1:25" ht="15.75" customHeight="1">
      <c r="A269" s="7"/>
      <c r="B269" s="7"/>
      <c r="C269" s="29"/>
      <c r="D269" s="7"/>
      <c r="E269" s="7"/>
      <c r="F269" s="7"/>
      <c r="G269" s="7"/>
      <c r="H269" s="7"/>
      <c r="I269" s="7"/>
      <c r="J269" s="7"/>
      <c r="K269" s="7"/>
      <c r="L269" s="7"/>
      <c r="M269" s="7"/>
      <c r="N269" s="7"/>
      <c r="O269" s="7"/>
      <c r="P269" s="7"/>
      <c r="Q269" s="7"/>
      <c r="R269" s="7"/>
      <c r="S269" s="7"/>
      <c r="T269" s="7"/>
      <c r="U269" s="7"/>
      <c r="V269" s="7"/>
      <c r="W269" s="7"/>
      <c r="X269" s="7"/>
      <c r="Y269" s="7"/>
    </row>
    <row r="270" spans="1:25" ht="15.75" customHeight="1">
      <c r="A270" s="7"/>
      <c r="B270" s="7"/>
      <c r="C270" s="29"/>
      <c r="D270" s="7"/>
      <c r="E270" s="7"/>
      <c r="F270" s="7"/>
      <c r="G270" s="7"/>
      <c r="H270" s="7"/>
      <c r="I270" s="7"/>
      <c r="J270" s="7"/>
      <c r="K270" s="7"/>
      <c r="L270" s="7"/>
      <c r="M270" s="7"/>
      <c r="N270" s="7"/>
      <c r="O270" s="7"/>
      <c r="P270" s="7"/>
      <c r="Q270" s="7"/>
      <c r="R270" s="7"/>
      <c r="S270" s="7"/>
      <c r="T270" s="7"/>
      <c r="U270" s="7"/>
      <c r="V270" s="7"/>
      <c r="W270" s="7"/>
      <c r="X270" s="7"/>
      <c r="Y270" s="7"/>
    </row>
    <row r="271" spans="1:25" ht="15.75" customHeight="1">
      <c r="A271" s="7"/>
      <c r="B271" s="7"/>
      <c r="C271" s="29"/>
      <c r="D271" s="7"/>
      <c r="E271" s="7"/>
      <c r="F271" s="7"/>
      <c r="G271" s="7"/>
      <c r="H271" s="7"/>
      <c r="I271" s="7"/>
      <c r="J271" s="7"/>
      <c r="K271" s="7"/>
      <c r="L271" s="7"/>
      <c r="M271" s="7"/>
      <c r="N271" s="7"/>
      <c r="O271" s="7"/>
      <c r="P271" s="7"/>
      <c r="Q271" s="7"/>
      <c r="R271" s="7"/>
      <c r="S271" s="7"/>
      <c r="T271" s="7"/>
      <c r="U271" s="7"/>
      <c r="V271" s="7"/>
      <c r="W271" s="7"/>
      <c r="X271" s="7"/>
      <c r="Y271" s="7"/>
    </row>
    <row r="272" spans="1:25" ht="15.75" customHeight="1">
      <c r="A272" s="7"/>
      <c r="B272" s="7"/>
      <c r="C272" s="29"/>
      <c r="D272" s="7"/>
      <c r="E272" s="7"/>
      <c r="F272" s="7"/>
      <c r="G272" s="7"/>
      <c r="H272" s="7"/>
      <c r="I272" s="7"/>
      <c r="J272" s="7"/>
      <c r="K272" s="7"/>
      <c r="L272" s="7"/>
      <c r="M272" s="7"/>
      <c r="N272" s="7"/>
      <c r="O272" s="7"/>
      <c r="P272" s="7"/>
      <c r="Q272" s="7"/>
      <c r="R272" s="7"/>
      <c r="S272" s="7"/>
      <c r="T272" s="7"/>
      <c r="U272" s="7"/>
      <c r="V272" s="7"/>
      <c r="W272" s="7"/>
      <c r="X272" s="7"/>
      <c r="Y272" s="7"/>
    </row>
    <row r="273" spans="1:25" ht="15.75" customHeight="1">
      <c r="A273" s="7"/>
      <c r="B273" s="7"/>
      <c r="C273" s="29"/>
      <c r="D273" s="7"/>
      <c r="E273" s="7"/>
      <c r="F273" s="7"/>
      <c r="G273" s="7"/>
      <c r="H273" s="7"/>
      <c r="I273" s="7"/>
      <c r="J273" s="7"/>
      <c r="K273" s="7"/>
      <c r="L273" s="7"/>
      <c r="M273" s="7"/>
      <c r="N273" s="7"/>
      <c r="O273" s="7"/>
      <c r="P273" s="7"/>
      <c r="Q273" s="7"/>
      <c r="R273" s="7"/>
      <c r="S273" s="7"/>
      <c r="T273" s="7"/>
      <c r="U273" s="7"/>
      <c r="V273" s="7"/>
      <c r="W273" s="7"/>
      <c r="X273" s="7"/>
      <c r="Y273" s="7"/>
    </row>
    <row r="274" spans="1:25" ht="15.75" customHeight="1">
      <c r="A274" s="7"/>
      <c r="B274" s="7"/>
      <c r="C274" s="29"/>
      <c r="D274" s="7"/>
      <c r="E274" s="7"/>
      <c r="F274" s="7"/>
      <c r="G274" s="7"/>
      <c r="H274" s="7"/>
      <c r="I274" s="7"/>
      <c r="J274" s="7"/>
      <c r="K274" s="7"/>
      <c r="L274" s="7"/>
      <c r="M274" s="7"/>
      <c r="N274" s="7"/>
      <c r="O274" s="7"/>
      <c r="P274" s="7"/>
      <c r="Q274" s="7"/>
      <c r="R274" s="7"/>
      <c r="S274" s="7"/>
      <c r="T274" s="7"/>
      <c r="U274" s="7"/>
      <c r="V274" s="7"/>
      <c r="W274" s="7"/>
      <c r="X274" s="7"/>
      <c r="Y274" s="7"/>
    </row>
    <row r="275" spans="1:25" ht="15.75" customHeight="1">
      <c r="A275" s="7"/>
      <c r="B275" s="7"/>
      <c r="C275" s="29"/>
      <c r="D275" s="7"/>
      <c r="E275" s="7"/>
      <c r="F275" s="7"/>
      <c r="G275" s="7"/>
      <c r="H275" s="7"/>
      <c r="I275" s="7"/>
      <c r="J275" s="7"/>
      <c r="K275" s="7"/>
      <c r="L275" s="7"/>
      <c r="M275" s="7"/>
      <c r="N275" s="7"/>
      <c r="O275" s="7"/>
      <c r="P275" s="7"/>
      <c r="Q275" s="7"/>
      <c r="R275" s="7"/>
      <c r="S275" s="7"/>
      <c r="T275" s="7"/>
      <c r="U275" s="7"/>
      <c r="V275" s="7"/>
      <c r="W275" s="7"/>
      <c r="X275" s="7"/>
      <c r="Y275" s="7"/>
    </row>
    <row r="276" spans="1:25" ht="15.75" customHeight="1">
      <c r="A276" s="7"/>
      <c r="B276" s="7"/>
      <c r="C276" s="29"/>
      <c r="D276" s="7"/>
      <c r="E276" s="7"/>
      <c r="F276" s="7"/>
      <c r="G276" s="7"/>
      <c r="H276" s="7"/>
      <c r="I276" s="7"/>
      <c r="J276" s="7"/>
      <c r="K276" s="7"/>
      <c r="L276" s="7"/>
      <c r="M276" s="7"/>
      <c r="N276" s="7"/>
      <c r="O276" s="7"/>
      <c r="P276" s="7"/>
      <c r="Q276" s="7"/>
      <c r="R276" s="7"/>
      <c r="S276" s="7"/>
      <c r="T276" s="7"/>
      <c r="U276" s="7"/>
      <c r="V276" s="7"/>
      <c r="W276" s="7"/>
      <c r="X276" s="7"/>
      <c r="Y276" s="7"/>
    </row>
    <row r="277" spans="1:25" ht="15.75" customHeight="1">
      <c r="A277" s="7"/>
      <c r="B277" s="7"/>
      <c r="C277" s="29"/>
      <c r="D277" s="7"/>
      <c r="E277" s="7"/>
      <c r="F277" s="7"/>
      <c r="G277" s="7"/>
      <c r="H277" s="7"/>
      <c r="I277" s="7"/>
      <c r="J277" s="7"/>
      <c r="K277" s="7"/>
      <c r="L277" s="7"/>
      <c r="M277" s="7"/>
      <c r="N277" s="7"/>
      <c r="O277" s="7"/>
      <c r="P277" s="7"/>
      <c r="Q277" s="7"/>
      <c r="R277" s="7"/>
      <c r="S277" s="7"/>
      <c r="T277" s="7"/>
      <c r="U277" s="7"/>
      <c r="V277" s="7"/>
      <c r="W277" s="7"/>
      <c r="X277" s="7"/>
      <c r="Y277" s="7"/>
    </row>
    <row r="278" spans="1:25" ht="15.75" customHeight="1">
      <c r="A278" s="7"/>
      <c r="B278" s="7"/>
      <c r="C278" s="29"/>
      <c r="D278" s="7"/>
      <c r="E278" s="7"/>
      <c r="F278" s="7"/>
      <c r="G278" s="7"/>
      <c r="H278" s="7"/>
      <c r="I278" s="7"/>
      <c r="J278" s="7"/>
      <c r="K278" s="7"/>
      <c r="L278" s="7"/>
      <c r="M278" s="7"/>
      <c r="N278" s="7"/>
      <c r="O278" s="7"/>
      <c r="P278" s="7"/>
      <c r="Q278" s="7"/>
      <c r="R278" s="7"/>
      <c r="S278" s="7"/>
      <c r="T278" s="7"/>
      <c r="U278" s="7"/>
      <c r="V278" s="7"/>
      <c r="W278" s="7"/>
      <c r="X278" s="7"/>
      <c r="Y278" s="7"/>
    </row>
    <row r="279" spans="1:25" ht="15.75" customHeight="1">
      <c r="A279" s="7"/>
      <c r="B279" s="7"/>
      <c r="C279" s="29"/>
      <c r="D279" s="7"/>
      <c r="E279" s="7"/>
      <c r="F279" s="7"/>
      <c r="G279" s="7"/>
      <c r="H279" s="7"/>
      <c r="I279" s="7"/>
      <c r="J279" s="7"/>
      <c r="K279" s="7"/>
      <c r="L279" s="7"/>
      <c r="M279" s="7"/>
      <c r="N279" s="7"/>
      <c r="O279" s="7"/>
      <c r="P279" s="7"/>
      <c r="Q279" s="7"/>
      <c r="R279" s="7"/>
      <c r="S279" s="7"/>
      <c r="T279" s="7"/>
      <c r="U279" s="7"/>
      <c r="V279" s="7"/>
      <c r="W279" s="7"/>
      <c r="X279" s="7"/>
      <c r="Y279" s="7"/>
    </row>
    <row r="280" spans="1:25" ht="15.75" customHeight="1">
      <c r="A280" s="7"/>
      <c r="B280" s="7"/>
      <c r="C280" s="29"/>
      <c r="D280" s="7"/>
      <c r="E280" s="7"/>
      <c r="F280" s="7"/>
      <c r="G280" s="7"/>
      <c r="H280" s="7"/>
      <c r="I280" s="7"/>
      <c r="J280" s="7"/>
      <c r="K280" s="7"/>
      <c r="L280" s="7"/>
      <c r="M280" s="7"/>
      <c r="N280" s="7"/>
      <c r="O280" s="7"/>
      <c r="P280" s="7"/>
      <c r="Q280" s="7"/>
      <c r="R280" s="7"/>
      <c r="S280" s="7"/>
      <c r="T280" s="7"/>
      <c r="U280" s="7"/>
      <c r="V280" s="7"/>
      <c r="W280" s="7"/>
      <c r="X280" s="7"/>
      <c r="Y280" s="7"/>
    </row>
    <row r="281" spans="1:25" ht="15.75" customHeight="1">
      <c r="A281" s="7"/>
      <c r="B281" s="7"/>
      <c r="C281" s="29"/>
      <c r="D281" s="7"/>
      <c r="E281" s="7"/>
      <c r="F281" s="7"/>
      <c r="G281" s="7"/>
      <c r="H281" s="7"/>
      <c r="I281" s="7"/>
      <c r="J281" s="7"/>
      <c r="K281" s="7"/>
      <c r="L281" s="7"/>
      <c r="M281" s="7"/>
      <c r="N281" s="7"/>
      <c r="O281" s="7"/>
      <c r="P281" s="7"/>
      <c r="Q281" s="7"/>
      <c r="R281" s="7"/>
      <c r="S281" s="7"/>
      <c r="T281" s="7"/>
      <c r="U281" s="7"/>
      <c r="V281" s="7"/>
      <c r="W281" s="7"/>
      <c r="X281" s="7"/>
      <c r="Y281" s="7"/>
    </row>
    <row r="282" spans="1:25" ht="15.75" customHeight="1">
      <c r="A282" s="7"/>
      <c r="B282" s="7"/>
      <c r="C282" s="29"/>
      <c r="D282" s="7"/>
      <c r="E282" s="7"/>
      <c r="F282" s="7"/>
      <c r="G282" s="7"/>
      <c r="H282" s="7"/>
      <c r="I282" s="7"/>
      <c r="J282" s="7"/>
      <c r="K282" s="7"/>
      <c r="L282" s="7"/>
      <c r="M282" s="7"/>
      <c r="N282" s="7"/>
      <c r="O282" s="7"/>
      <c r="P282" s="7"/>
      <c r="Q282" s="7"/>
      <c r="R282" s="7"/>
      <c r="S282" s="7"/>
      <c r="T282" s="7"/>
      <c r="U282" s="7"/>
      <c r="V282" s="7"/>
      <c r="W282" s="7"/>
      <c r="X282" s="7"/>
      <c r="Y282" s="7"/>
    </row>
    <row r="283" spans="1:25" ht="15.75" customHeight="1">
      <c r="A283" s="7"/>
      <c r="B283" s="7"/>
      <c r="C283" s="29"/>
      <c r="D283" s="7"/>
      <c r="E283" s="7"/>
      <c r="F283" s="7"/>
      <c r="G283" s="7"/>
      <c r="H283" s="7"/>
      <c r="I283" s="7"/>
      <c r="J283" s="7"/>
      <c r="K283" s="7"/>
      <c r="L283" s="7"/>
      <c r="M283" s="7"/>
      <c r="N283" s="7"/>
      <c r="O283" s="7"/>
      <c r="P283" s="7"/>
      <c r="Q283" s="7"/>
      <c r="R283" s="7"/>
      <c r="S283" s="7"/>
      <c r="T283" s="7"/>
      <c r="U283" s="7"/>
      <c r="V283" s="7"/>
      <c r="W283" s="7"/>
      <c r="X283" s="7"/>
      <c r="Y283" s="7"/>
    </row>
    <row r="284" spans="1:25" ht="15.75" customHeight="1">
      <c r="A284" s="7"/>
      <c r="B284" s="7"/>
      <c r="C284" s="29"/>
      <c r="D284" s="7"/>
      <c r="E284" s="7"/>
      <c r="F284" s="7"/>
      <c r="G284" s="7"/>
      <c r="H284" s="7"/>
      <c r="I284" s="7"/>
      <c r="J284" s="7"/>
      <c r="K284" s="7"/>
      <c r="L284" s="7"/>
      <c r="M284" s="7"/>
      <c r="N284" s="7"/>
      <c r="O284" s="7"/>
      <c r="P284" s="7"/>
      <c r="Q284" s="7"/>
      <c r="R284" s="7"/>
      <c r="S284" s="7"/>
      <c r="T284" s="7"/>
      <c r="U284" s="7"/>
      <c r="V284" s="7"/>
      <c r="W284" s="7"/>
      <c r="X284" s="7"/>
      <c r="Y284" s="7"/>
    </row>
    <row r="285" spans="1:25" ht="15.75" customHeight="1">
      <c r="A285" s="7"/>
      <c r="B285" s="7"/>
      <c r="C285" s="29"/>
      <c r="D285" s="7"/>
      <c r="E285" s="7"/>
      <c r="F285" s="7"/>
      <c r="G285" s="7"/>
      <c r="H285" s="7"/>
      <c r="I285" s="7"/>
      <c r="J285" s="7"/>
      <c r="K285" s="7"/>
      <c r="L285" s="7"/>
      <c r="M285" s="7"/>
      <c r="N285" s="7"/>
      <c r="O285" s="7"/>
      <c r="P285" s="7"/>
      <c r="Q285" s="7"/>
      <c r="R285" s="7"/>
      <c r="S285" s="7"/>
      <c r="T285" s="7"/>
      <c r="U285" s="7"/>
      <c r="V285" s="7"/>
      <c r="W285" s="7"/>
      <c r="X285" s="7"/>
      <c r="Y285" s="7"/>
    </row>
    <row r="286" spans="1:25" ht="15.75" customHeight="1">
      <c r="A286" s="7"/>
      <c r="B286" s="7"/>
      <c r="C286" s="29"/>
      <c r="D286" s="7"/>
      <c r="E286" s="7"/>
      <c r="F286" s="7"/>
      <c r="G286" s="7"/>
      <c r="H286" s="7"/>
      <c r="I286" s="7"/>
      <c r="J286" s="7"/>
      <c r="K286" s="7"/>
      <c r="L286" s="7"/>
      <c r="M286" s="7"/>
      <c r="N286" s="7"/>
      <c r="O286" s="7"/>
      <c r="P286" s="7"/>
      <c r="Q286" s="7"/>
      <c r="R286" s="7"/>
      <c r="S286" s="7"/>
      <c r="T286" s="7"/>
      <c r="U286" s="7"/>
      <c r="V286" s="7"/>
      <c r="W286" s="7"/>
      <c r="X286" s="7"/>
      <c r="Y286" s="7"/>
    </row>
    <row r="287" spans="1:25" ht="15.75" customHeight="1">
      <c r="A287" s="7"/>
      <c r="B287" s="7"/>
      <c r="C287" s="29"/>
      <c r="D287" s="7"/>
      <c r="E287" s="7"/>
      <c r="F287" s="7"/>
      <c r="G287" s="7"/>
      <c r="H287" s="7"/>
      <c r="I287" s="7"/>
      <c r="J287" s="7"/>
      <c r="K287" s="7"/>
      <c r="L287" s="7"/>
      <c r="M287" s="7"/>
      <c r="N287" s="7"/>
      <c r="O287" s="7"/>
      <c r="P287" s="7"/>
      <c r="Q287" s="7"/>
      <c r="R287" s="7"/>
      <c r="S287" s="7"/>
      <c r="T287" s="7"/>
      <c r="U287" s="7"/>
      <c r="V287" s="7"/>
      <c r="W287" s="7"/>
      <c r="X287" s="7"/>
      <c r="Y287" s="7"/>
    </row>
    <row r="288" spans="1:25" ht="15.75" customHeight="1">
      <c r="A288" s="7"/>
      <c r="B288" s="7"/>
      <c r="C288" s="29"/>
      <c r="D288" s="7"/>
      <c r="E288" s="7"/>
      <c r="F288" s="7"/>
      <c r="G288" s="7"/>
      <c r="H288" s="7"/>
      <c r="I288" s="7"/>
      <c r="J288" s="7"/>
      <c r="K288" s="7"/>
      <c r="L288" s="7"/>
      <c r="M288" s="7"/>
      <c r="N288" s="7"/>
      <c r="O288" s="7"/>
      <c r="P288" s="7"/>
      <c r="Q288" s="7"/>
      <c r="R288" s="7"/>
      <c r="S288" s="7"/>
      <c r="T288" s="7"/>
      <c r="U288" s="7"/>
      <c r="V288" s="7"/>
      <c r="W288" s="7"/>
      <c r="X288" s="7"/>
      <c r="Y288" s="7"/>
    </row>
    <row r="289" spans="1:25" ht="15.75" customHeight="1">
      <c r="A289" s="7"/>
      <c r="B289" s="7"/>
      <c r="C289" s="29"/>
      <c r="D289" s="7"/>
      <c r="E289" s="7"/>
      <c r="F289" s="7"/>
      <c r="G289" s="7"/>
      <c r="H289" s="7"/>
      <c r="I289" s="7"/>
      <c r="J289" s="7"/>
      <c r="K289" s="7"/>
      <c r="L289" s="7"/>
      <c r="M289" s="7"/>
      <c r="N289" s="7"/>
      <c r="O289" s="7"/>
      <c r="P289" s="7"/>
      <c r="Q289" s="7"/>
      <c r="R289" s="7"/>
      <c r="S289" s="7"/>
      <c r="T289" s="7"/>
      <c r="U289" s="7"/>
      <c r="V289" s="7"/>
      <c r="W289" s="7"/>
      <c r="X289" s="7"/>
      <c r="Y289" s="7"/>
    </row>
    <row r="290" spans="1:25" ht="15.75" customHeight="1">
      <c r="A290" s="7"/>
      <c r="B290" s="7"/>
      <c r="C290" s="29"/>
      <c r="D290" s="7"/>
      <c r="E290" s="7"/>
      <c r="F290" s="7"/>
      <c r="G290" s="7"/>
      <c r="H290" s="7"/>
      <c r="I290" s="7"/>
      <c r="J290" s="7"/>
      <c r="K290" s="7"/>
      <c r="L290" s="7"/>
      <c r="M290" s="7"/>
      <c r="N290" s="7"/>
      <c r="O290" s="7"/>
      <c r="P290" s="7"/>
      <c r="Q290" s="7"/>
      <c r="R290" s="7"/>
      <c r="S290" s="7"/>
      <c r="T290" s="7"/>
      <c r="U290" s="7"/>
      <c r="V290" s="7"/>
      <c r="W290" s="7"/>
      <c r="X290" s="7"/>
      <c r="Y290" s="7"/>
    </row>
    <row r="291" spans="1:25" ht="15.75" customHeight="1">
      <c r="A291" s="7"/>
      <c r="B291" s="7"/>
      <c r="C291" s="29"/>
      <c r="D291" s="7"/>
      <c r="E291" s="7"/>
      <c r="F291" s="7"/>
      <c r="G291" s="7"/>
      <c r="H291" s="7"/>
      <c r="I291" s="7"/>
      <c r="J291" s="7"/>
      <c r="K291" s="7"/>
      <c r="L291" s="7"/>
      <c r="M291" s="7"/>
      <c r="N291" s="7"/>
      <c r="O291" s="7"/>
      <c r="P291" s="7"/>
      <c r="Q291" s="7"/>
      <c r="R291" s="7"/>
      <c r="S291" s="7"/>
      <c r="T291" s="7"/>
      <c r="U291" s="7"/>
      <c r="V291" s="7"/>
      <c r="W291" s="7"/>
      <c r="X291" s="7"/>
      <c r="Y291" s="7"/>
    </row>
    <row r="292" spans="1:25" ht="15.75" customHeight="1">
      <c r="A292" s="7"/>
      <c r="B292" s="7"/>
      <c r="C292" s="29"/>
      <c r="D292" s="7"/>
      <c r="E292" s="7"/>
      <c r="F292" s="7"/>
      <c r="G292" s="7"/>
      <c r="H292" s="7"/>
      <c r="I292" s="7"/>
      <c r="J292" s="7"/>
      <c r="K292" s="7"/>
      <c r="L292" s="7"/>
      <c r="M292" s="7"/>
      <c r="N292" s="7"/>
      <c r="O292" s="7"/>
      <c r="P292" s="7"/>
      <c r="Q292" s="7"/>
      <c r="R292" s="7"/>
      <c r="S292" s="7"/>
      <c r="T292" s="7"/>
      <c r="U292" s="7"/>
      <c r="V292" s="7"/>
      <c r="W292" s="7"/>
      <c r="X292" s="7"/>
      <c r="Y292" s="7"/>
    </row>
    <row r="293" spans="1:25" ht="15.75" customHeight="1">
      <c r="A293" s="7"/>
      <c r="B293" s="7"/>
      <c r="C293" s="29"/>
      <c r="D293" s="7"/>
      <c r="E293" s="7"/>
      <c r="F293" s="7"/>
      <c r="G293" s="7"/>
      <c r="H293" s="7"/>
      <c r="I293" s="7"/>
      <c r="J293" s="7"/>
      <c r="K293" s="7"/>
      <c r="L293" s="7"/>
      <c r="M293" s="7"/>
      <c r="N293" s="7"/>
      <c r="O293" s="7"/>
      <c r="P293" s="7"/>
      <c r="Q293" s="7"/>
      <c r="R293" s="7"/>
      <c r="S293" s="7"/>
      <c r="T293" s="7"/>
      <c r="U293" s="7"/>
      <c r="V293" s="7"/>
      <c r="W293" s="7"/>
      <c r="X293" s="7"/>
      <c r="Y293" s="7"/>
    </row>
    <row r="294" spans="1:25" ht="15.75" customHeight="1">
      <c r="A294" s="7"/>
      <c r="B294" s="7"/>
      <c r="C294" s="29"/>
      <c r="D294" s="7"/>
      <c r="E294" s="7"/>
      <c r="F294" s="7"/>
      <c r="G294" s="7"/>
      <c r="H294" s="7"/>
      <c r="I294" s="7"/>
      <c r="J294" s="7"/>
      <c r="K294" s="7"/>
      <c r="L294" s="7"/>
      <c r="M294" s="7"/>
      <c r="N294" s="7"/>
      <c r="O294" s="7"/>
      <c r="P294" s="7"/>
      <c r="Q294" s="7"/>
      <c r="R294" s="7"/>
      <c r="S294" s="7"/>
      <c r="T294" s="7"/>
      <c r="U294" s="7"/>
      <c r="V294" s="7"/>
      <c r="W294" s="7"/>
      <c r="X294" s="7"/>
      <c r="Y294" s="7"/>
    </row>
    <row r="295" spans="1:25" ht="15.75" customHeight="1">
      <c r="A295" s="7"/>
      <c r="B295" s="7"/>
      <c r="C295" s="29"/>
      <c r="D295" s="7"/>
      <c r="E295" s="7"/>
      <c r="F295" s="7"/>
      <c r="G295" s="7"/>
      <c r="H295" s="7"/>
      <c r="I295" s="7"/>
      <c r="J295" s="7"/>
      <c r="K295" s="7"/>
      <c r="L295" s="7"/>
      <c r="M295" s="7"/>
      <c r="N295" s="7"/>
      <c r="O295" s="7"/>
      <c r="P295" s="7"/>
      <c r="Q295" s="7"/>
      <c r="R295" s="7"/>
      <c r="S295" s="7"/>
      <c r="T295" s="7"/>
      <c r="U295" s="7"/>
      <c r="V295" s="7"/>
      <c r="W295" s="7"/>
      <c r="X295" s="7"/>
      <c r="Y295" s="7"/>
    </row>
    <row r="296" spans="1:25" ht="15.75" customHeight="1">
      <c r="A296" s="7"/>
      <c r="B296" s="7"/>
      <c r="C296" s="29"/>
      <c r="D296" s="7"/>
      <c r="E296" s="7"/>
      <c r="F296" s="7"/>
      <c r="G296" s="7"/>
      <c r="H296" s="7"/>
      <c r="I296" s="7"/>
      <c r="J296" s="7"/>
      <c r="K296" s="7"/>
      <c r="L296" s="7"/>
      <c r="M296" s="7"/>
      <c r="N296" s="7"/>
      <c r="O296" s="7"/>
      <c r="P296" s="7"/>
      <c r="Q296" s="7"/>
      <c r="R296" s="7"/>
      <c r="S296" s="7"/>
      <c r="T296" s="7"/>
      <c r="U296" s="7"/>
      <c r="V296" s="7"/>
      <c r="W296" s="7"/>
      <c r="X296" s="7"/>
      <c r="Y296" s="7"/>
    </row>
    <row r="297" spans="1:25" ht="15.75" customHeight="1">
      <c r="A297" s="7"/>
      <c r="B297" s="7"/>
      <c r="C297" s="29"/>
      <c r="D297" s="7"/>
      <c r="E297" s="7"/>
      <c r="F297" s="7"/>
      <c r="G297" s="7"/>
      <c r="H297" s="7"/>
      <c r="I297" s="7"/>
      <c r="J297" s="7"/>
      <c r="K297" s="7"/>
      <c r="L297" s="7"/>
      <c r="M297" s="7"/>
      <c r="N297" s="7"/>
      <c r="O297" s="7"/>
      <c r="P297" s="7"/>
      <c r="Q297" s="7"/>
      <c r="R297" s="7"/>
      <c r="S297" s="7"/>
      <c r="T297" s="7"/>
      <c r="U297" s="7"/>
      <c r="V297" s="7"/>
      <c r="W297" s="7"/>
      <c r="X297" s="7"/>
      <c r="Y297" s="7"/>
    </row>
    <row r="298" spans="1:25" ht="15.75" customHeight="1">
      <c r="A298" s="7"/>
      <c r="B298" s="7"/>
      <c r="C298" s="29"/>
      <c r="D298" s="7"/>
      <c r="E298" s="7"/>
      <c r="F298" s="7"/>
      <c r="G298" s="7"/>
      <c r="H298" s="7"/>
      <c r="I298" s="7"/>
      <c r="J298" s="7"/>
      <c r="K298" s="7"/>
      <c r="L298" s="7"/>
      <c r="M298" s="7"/>
      <c r="N298" s="7"/>
      <c r="O298" s="7"/>
      <c r="P298" s="7"/>
      <c r="Q298" s="7"/>
      <c r="R298" s="7"/>
      <c r="S298" s="7"/>
      <c r="T298" s="7"/>
      <c r="U298" s="7"/>
      <c r="V298" s="7"/>
      <c r="W298" s="7"/>
      <c r="X298" s="7"/>
      <c r="Y298" s="7"/>
    </row>
    <row r="299" spans="1:25" ht="15.75" customHeight="1">
      <c r="A299" s="7"/>
      <c r="B299" s="7"/>
      <c r="C299" s="29"/>
      <c r="D299" s="7"/>
      <c r="E299" s="7"/>
      <c r="F299" s="7"/>
      <c r="G299" s="7"/>
      <c r="H299" s="7"/>
      <c r="I299" s="7"/>
      <c r="J299" s="7"/>
      <c r="K299" s="7"/>
      <c r="L299" s="7"/>
      <c r="M299" s="7"/>
      <c r="N299" s="7"/>
      <c r="O299" s="7"/>
      <c r="P299" s="7"/>
      <c r="Q299" s="7"/>
      <c r="R299" s="7"/>
      <c r="S299" s="7"/>
      <c r="T299" s="7"/>
      <c r="U299" s="7"/>
      <c r="V299" s="7"/>
      <c r="W299" s="7"/>
      <c r="X299" s="7"/>
      <c r="Y299" s="7"/>
    </row>
    <row r="300" spans="1:25" ht="15.75" customHeight="1">
      <c r="A300" s="7"/>
      <c r="B300" s="7"/>
      <c r="C300" s="29"/>
      <c r="D300" s="7"/>
      <c r="E300" s="7"/>
      <c r="F300" s="7"/>
      <c r="G300" s="7"/>
      <c r="H300" s="7"/>
      <c r="I300" s="7"/>
      <c r="J300" s="7"/>
      <c r="K300" s="7"/>
      <c r="L300" s="7"/>
      <c r="M300" s="7"/>
      <c r="N300" s="7"/>
      <c r="O300" s="7"/>
      <c r="P300" s="7"/>
      <c r="Q300" s="7"/>
      <c r="R300" s="7"/>
      <c r="S300" s="7"/>
      <c r="T300" s="7"/>
      <c r="U300" s="7"/>
      <c r="V300" s="7"/>
      <c r="W300" s="7"/>
      <c r="X300" s="7"/>
      <c r="Y300" s="7"/>
    </row>
    <row r="301" spans="1:25" ht="15.75" customHeight="1">
      <c r="A301" s="7"/>
      <c r="B301" s="7"/>
      <c r="C301" s="29"/>
      <c r="D301" s="7"/>
      <c r="E301" s="7"/>
      <c r="F301" s="7"/>
      <c r="G301" s="7"/>
      <c r="H301" s="7"/>
      <c r="I301" s="7"/>
      <c r="J301" s="7"/>
      <c r="K301" s="7"/>
      <c r="L301" s="7"/>
      <c r="M301" s="7"/>
      <c r="N301" s="7"/>
      <c r="O301" s="7"/>
      <c r="P301" s="7"/>
      <c r="Q301" s="7"/>
      <c r="R301" s="7"/>
      <c r="S301" s="7"/>
      <c r="T301" s="7"/>
      <c r="U301" s="7"/>
      <c r="V301" s="7"/>
      <c r="W301" s="7"/>
      <c r="X301" s="7"/>
      <c r="Y301" s="7"/>
    </row>
    <row r="302" spans="1:25" ht="15.75" customHeight="1">
      <c r="A302" s="7"/>
      <c r="B302" s="7"/>
      <c r="C302" s="29"/>
      <c r="D302" s="7"/>
      <c r="E302" s="7"/>
      <c r="F302" s="7"/>
      <c r="G302" s="7"/>
      <c r="H302" s="7"/>
      <c r="I302" s="7"/>
      <c r="J302" s="7"/>
      <c r="K302" s="7"/>
      <c r="L302" s="7"/>
      <c r="M302" s="7"/>
      <c r="N302" s="7"/>
      <c r="O302" s="7"/>
      <c r="P302" s="7"/>
      <c r="Q302" s="7"/>
      <c r="R302" s="7"/>
      <c r="S302" s="7"/>
      <c r="T302" s="7"/>
      <c r="U302" s="7"/>
      <c r="V302" s="7"/>
      <c r="W302" s="7"/>
      <c r="X302" s="7"/>
      <c r="Y302" s="7"/>
    </row>
    <row r="303" spans="1:25" ht="15.75" customHeight="1">
      <c r="A303" s="7"/>
      <c r="B303" s="7"/>
      <c r="C303" s="29"/>
      <c r="D303" s="7"/>
      <c r="E303" s="7"/>
      <c r="F303" s="7"/>
      <c r="G303" s="7"/>
      <c r="H303" s="7"/>
      <c r="I303" s="7"/>
      <c r="J303" s="7"/>
      <c r="K303" s="7"/>
      <c r="L303" s="7"/>
      <c r="M303" s="7"/>
      <c r="N303" s="7"/>
      <c r="O303" s="7"/>
      <c r="P303" s="7"/>
      <c r="Q303" s="7"/>
      <c r="R303" s="7"/>
      <c r="S303" s="7"/>
      <c r="T303" s="7"/>
      <c r="U303" s="7"/>
      <c r="V303" s="7"/>
      <c r="W303" s="7"/>
      <c r="X303" s="7"/>
      <c r="Y303" s="7"/>
    </row>
    <row r="304" spans="1:25" ht="15.75" customHeight="1">
      <c r="A304" s="7"/>
      <c r="B304" s="7"/>
      <c r="C304" s="29"/>
      <c r="D304" s="7"/>
      <c r="E304" s="7"/>
      <c r="F304" s="7"/>
      <c r="G304" s="7"/>
      <c r="H304" s="7"/>
      <c r="I304" s="7"/>
      <c r="J304" s="7"/>
      <c r="K304" s="7"/>
      <c r="L304" s="7"/>
      <c r="M304" s="7"/>
      <c r="N304" s="7"/>
      <c r="O304" s="7"/>
      <c r="P304" s="7"/>
      <c r="Q304" s="7"/>
      <c r="R304" s="7"/>
      <c r="S304" s="7"/>
      <c r="T304" s="7"/>
      <c r="U304" s="7"/>
      <c r="V304" s="7"/>
      <c r="W304" s="7"/>
      <c r="X304" s="7"/>
      <c r="Y304" s="7"/>
    </row>
    <row r="305" spans="1:25" ht="15.75" customHeight="1">
      <c r="A305" s="7"/>
      <c r="B305" s="7"/>
      <c r="C305" s="29"/>
      <c r="D305" s="7"/>
      <c r="E305" s="7"/>
      <c r="F305" s="7"/>
      <c r="G305" s="7"/>
      <c r="H305" s="7"/>
      <c r="I305" s="7"/>
      <c r="J305" s="7"/>
      <c r="K305" s="7"/>
      <c r="L305" s="7"/>
      <c r="M305" s="7"/>
      <c r="N305" s="7"/>
      <c r="O305" s="7"/>
      <c r="P305" s="7"/>
      <c r="Q305" s="7"/>
      <c r="R305" s="7"/>
      <c r="S305" s="7"/>
      <c r="T305" s="7"/>
      <c r="U305" s="7"/>
      <c r="V305" s="7"/>
      <c r="W305" s="7"/>
      <c r="X305" s="7"/>
      <c r="Y305" s="7"/>
    </row>
    <row r="306" spans="1:25" ht="15.75" customHeight="1">
      <c r="A306" s="7"/>
      <c r="B306" s="7"/>
      <c r="C306" s="29"/>
      <c r="D306" s="7"/>
      <c r="E306" s="7"/>
      <c r="F306" s="7"/>
      <c r="G306" s="7"/>
      <c r="H306" s="7"/>
      <c r="I306" s="7"/>
      <c r="J306" s="7"/>
      <c r="K306" s="7"/>
      <c r="L306" s="7"/>
      <c r="M306" s="7"/>
      <c r="N306" s="7"/>
      <c r="O306" s="7"/>
      <c r="P306" s="7"/>
      <c r="Q306" s="7"/>
      <c r="R306" s="7"/>
      <c r="S306" s="7"/>
      <c r="T306" s="7"/>
      <c r="U306" s="7"/>
      <c r="V306" s="7"/>
      <c r="W306" s="7"/>
      <c r="X306" s="7"/>
      <c r="Y306" s="7"/>
    </row>
    <row r="307" spans="1:25" ht="15.75" customHeight="1">
      <c r="A307" s="7"/>
      <c r="B307" s="7"/>
      <c r="C307" s="29"/>
      <c r="D307" s="7"/>
      <c r="E307" s="7"/>
      <c r="F307" s="7"/>
      <c r="G307" s="7"/>
      <c r="H307" s="7"/>
      <c r="I307" s="7"/>
      <c r="J307" s="7"/>
      <c r="K307" s="7"/>
      <c r="L307" s="7"/>
      <c r="M307" s="7"/>
      <c r="N307" s="7"/>
      <c r="O307" s="7"/>
      <c r="P307" s="7"/>
      <c r="Q307" s="7"/>
      <c r="R307" s="7"/>
      <c r="S307" s="7"/>
      <c r="T307" s="7"/>
      <c r="U307" s="7"/>
      <c r="V307" s="7"/>
      <c r="W307" s="7"/>
      <c r="X307" s="7"/>
      <c r="Y307" s="7"/>
    </row>
    <row r="308" spans="1:25" ht="15.75" customHeight="1">
      <c r="A308" s="7"/>
      <c r="B308" s="7"/>
      <c r="C308" s="29"/>
      <c r="D308" s="7"/>
      <c r="E308" s="7"/>
      <c r="F308" s="7"/>
      <c r="G308" s="7"/>
      <c r="H308" s="7"/>
      <c r="I308" s="7"/>
      <c r="J308" s="7"/>
      <c r="K308" s="7"/>
      <c r="L308" s="7"/>
      <c r="M308" s="7"/>
      <c r="N308" s="7"/>
      <c r="O308" s="7"/>
      <c r="P308" s="7"/>
      <c r="Q308" s="7"/>
      <c r="R308" s="7"/>
      <c r="S308" s="7"/>
      <c r="T308" s="7"/>
      <c r="U308" s="7"/>
      <c r="V308" s="7"/>
      <c r="W308" s="7"/>
      <c r="X308" s="7"/>
      <c r="Y308" s="7"/>
    </row>
    <row r="309" spans="1:25" ht="15.75" customHeight="1">
      <c r="A309" s="7"/>
      <c r="B309" s="7"/>
      <c r="C309" s="29"/>
      <c r="D309" s="7"/>
      <c r="E309" s="7"/>
      <c r="F309" s="7"/>
      <c r="G309" s="7"/>
      <c r="H309" s="7"/>
      <c r="I309" s="7"/>
      <c r="J309" s="7"/>
      <c r="K309" s="7"/>
      <c r="L309" s="7"/>
      <c r="M309" s="7"/>
      <c r="N309" s="7"/>
      <c r="O309" s="7"/>
      <c r="P309" s="7"/>
      <c r="Q309" s="7"/>
      <c r="R309" s="7"/>
      <c r="S309" s="7"/>
      <c r="T309" s="7"/>
      <c r="U309" s="7"/>
      <c r="V309" s="7"/>
      <c r="W309" s="7"/>
      <c r="X309" s="7"/>
      <c r="Y309" s="7"/>
    </row>
    <row r="310" spans="1:25" ht="15.75" customHeight="1">
      <c r="A310" s="7"/>
      <c r="B310" s="7"/>
      <c r="C310" s="29"/>
      <c r="D310" s="7"/>
      <c r="E310" s="7"/>
      <c r="F310" s="7"/>
      <c r="G310" s="7"/>
      <c r="H310" s="7"/>
      <c r="I310" s="7"/>
      <c r="J310" s="7"/>
      <c r="K310" s="7"/>
      <c r="L310" s="7"/>
      <c r="M310" s="7"/>
      <c r="N310" s="7"/>
      <c r="O310" s="7"/>
      <c r="P310" s="7"/>
      <c r="Q310" s="7"/>
      <c r="R310" s="7"/>
      <c r="S310" s="7"/>
      <c r="T310" s="7"/>
      <c r="U310" s="7"/>
      <c r="V310" s="7"/>
      <c r="W310" s="7"/>
      <c r="X310" s="7"/>
      <c r="Y310" s="7"/>
    </row>
    <row r="311" spans="1:25" ht="15.75" customHeight="1">
      <c r="A311" s="7"/>
      <c r="B311" s="7"/>
      <c r="C311" s="29"/>
      <c r="D311" s="7"/>
      <c r="E311" s="7"/>
      <c r="F311" s="7"/>
      <c r="G311" s="7"/>
      <c r="H311" s="7"/>
      <c r="I311" s="7"/>
      <c r="J311" s="7"/>
      <c r="K311" s="7"/>
      <c r="L311" s="7"/>
      <c r="M311" s="7"/>
      <c r="N311" s="7"/>
      <c r="O311" s="7"/>
      <c r="P311" s="7"/>
      <c r="Q311" s="7"/>
      <c r="R311" s="7"/>
      <c r="S311" s="7"/>
      <c r="T311" s="7"/>
      <c r="U311" s="7"/>
      <c r="V311" s="7"/>
      <c r="W311" s="7"/>
      <c r="X311" s="7"/>
      <c r="Y311" s="7"/>
    </row>
    <row r="312" spans="1:25" ht="15.75" customHeight="1"/>
    <row r="313" spans="1:25" ht="15.75" customHeight="1"/>
    <row r="314" spans="1:25" ht="15.75" customHeight="1"/>
    <row r="315" spans="1:25" ht="15.75" customHeight="1"/>
    <row r="316" spans="1:25" ht="15.75" customHeight="1"/>
    <row r="317" spans="1:25" ht="15.75" customHeight="1"/>
    <row r="318" spans="1:25" ht="15.75" customHeight="1"/>
    <row r="319" spans="1:25" ht="15.75" customHeight="1"/>
    <row r="320" spans="1:25"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sheetData>
  <mergeCells count="14">
    <mergeCell ref="D2:H2"/>
    <mergeCell ref="E79:I79"/>
    <mergeCell ref="B85:D85"/>
    <mergeCell ref="H31:J33"/>
    <mergeCell ref="D28:F28"/>
    <mergeCell ref="C18:G18"/>
    <mergeCell ref="H20:I27"/>
    <mergeCell ref="A105:I106"/>
    <mergeCell ref="F113:I136"/>
    <mergeCell ref="B42:D42"/>
    <mergeCell ref="B50:D50"/>
    <mergeCell ref="E78:I78"/>
    <mergeCell ref="J82:P83"/>
    <mergeCell ref="J78:P80"/>
  </mergeCells>
  <conditionalFormatting sqref="C69">
    <cfRule type="cellIs" dxfId="5" priority="3" operator="lessThan">
      <formula>$C$68</formula>
    </cfRule>
    <cfRule type="cellIs" dxfId="4" priority="4" operator="greaterThan">
      <formula>$C$68</formula>
    </cfRule>
  </conditionalFormatting>
  <conditionalFormatting sqref="D103">
    <cfRule type="cellIs" dxfId="3" priority="5" operator="greaterThan">
      <formula>0</formula>
    </cfRule>
    <cfRule type="cellIs" dxfId="2" priority="6" operator="lessThan">
      <formula>0</formula>
    </cfRule>
  </conditionalFormatting>
  <conditionalFormatting sqref="D136:E136">
    <cfRule type="cellIs" dxfId="1" priority="1" operator="lessThan">
      <formula>0</formula>
    </cfRule>
    <cfRule type="cellIs" dxfId="0" priority="2" operator="greaterThan">
      <formula>0</formula>
    </cfRule>
  </conditionalFormatting>
  <dataValidations count="1">
    <dataValidation type="list" allowBlank="1" showErrorMessage="1" sqref="F76" xr:uid="{00000000-0002-0000-0800-000001000000}">
      <formula1>"Lower,Base,Upper"</formula1>
    </dataValidation>
  </dataValidations>
  <hyperlinks>
    <hyperlink ref="E78" r:id="rId1" xr:uid="{00000000-0004-0000-0800-000002000000}"/>
    <hyperlink ref="E79" r:id="rId2" xr:uid="{00000000-0004-0000-0800-000003000000}"/>
    <hyperlink ref="F107" r:id="rId3" xr:uid="{2AEE745C-F94D-435A-86C2-2EE45E7CB26F}"/>
    <hyperlink ref="E39" r:id="rId4" xr:uid="{2FF99A79-78C1-41C0-A0F1-1E685EC5DF9F}"/>
    <hyperlink ref="I45" r:id="rId5" xr:uid="{A584B5DF-C350-4BA4-B997-54B15BE2FC9C}"/>
  </hyperlinks>
  <pageMargins left="0.7" right="0.7" top="0.75" bottom="0.75" header="0" footer="0"/>
  <pageSetup orientation="portrait" r:id="rId6"/>
</worksheet>
</file>

<file path=docMetadata/LabelInfo.xml><?xml version="1.0" encoding="utf-8"?>
<clbl:labelList xmlns:clbl="http://schemas.microsoft.com/office/2020/mipLabelMetadata">
  <clbl:label id="{1f2befd1-2fac-4210-9f09-002462c69a88}" enabled="1" method="Standard" siteId="{d3d80c89-1c9e-4492-8468-9ebc0b663be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Income Assumptions</vt:lpstr>
      <vt:lpstr>Balance Assumptions</vt:lpstr>
      <vt:lpstr>Income Statement</vt:lpstr>
      <vt:lpstr>Balance Sheet</vt:lpstr>
      <vt:lpstr>Cash Flow</vt:lpstr>
      <vt:lpstr>Costs to Run</vt:lpstr>
      <vt:lpstr>Debt Schedule</vt:lpstr>
      <vt:lpstr>DCF</vt:lpstr>
      <vt:lpstr>ERPs by Country</vt:lpstr>
      <vt:lpstr>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Johnson</dc:creator>
  <cp:lastModifiedBy>Mario Johnson</cp:lastModifiedBy>
  <dcterms:created xsi:type="dcterms:W3CDTF">2026-06-09T17:19:06Z</dcterms:created>
  <dcterms:modified xsi:type="dcterms:W3CDTF">2026-08-10T15:42:05Z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0x010100DA541CF32620E44FAB19E6AB2D39FBA3</vt:lpwstr>
  </property>
  <property fmtid="{D5CDD505-2E9C-101B-9397-08002B2CF9AE}" pid="3" name="MediaServiceImageTags">
    <vt:lpwstr/>
  </property>
</Properties>
</file>